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yFavHJEBmQwsGqT7BzVjZke4TL374ulRzBk5mm25N2ZTDP2jMC1yAdPozyE3kg1eSSobpggJI+XBOu4qmRSyQ==" workbookSaltValue="nTLQWeY/k5rmabufnOSmg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W19" i="8" s="1"/>
  <c r="V18" i="8"/>
  <c r="U18" i="8"/>
  <c r="T18" i="8"/>
  <c r="S18" i="8"/>
  <c r="R18" i="8"/>
  <c r="Q18" i="8"/>
  <c r="BM18" i="16" s="1"/>
  <c r="P18" i="8"/>
  <c r="O18" i="8"/>
  <c r="O19" i="8" s="1"/>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E12" i="8" s="1"/>
  <c r="BA12" i="8"/>
  <c r="AZ12" i="8"/>
  <c r="BD12" i="8" s="1"/>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BF17" i="8"/>
  <c r="AG19" i="8"/>
  <c r="B13" i="7"/>
  <c r="E18" i="12"/>
  <c r="ER19" i="8"/>
  <c r="AE13" i="21"/>
  <c r="EL19" i="8"/>
  <c r="BE12" i="21"/>
  <c r="EQ19" i="8"/>
  <c r="EN19" i="8"/>
  <c r="E15" i="3"/>
  <c r="BA13" i="16"/>
  <c r="E17" i="3"/>
  <c r="F16" i="10"/>
  <c r="E10" i="6"/>
  <c r="ES19" i="8"/>
  <c r="G18" i="12"/>
  <c r="C18" i="7"/>
  <c r="R19" i="8"/>
  <c r="F17" i="16"/>
  <c r="BL17" i="16" s="1"/>
  <c r="EP19" i="8"/>
  <c r="EP19" i="19"/>
  <c r="S13" i="16"/>
  <c r="P13" i="16"/>
  <c r="W13" i="20"/>
  <c r="M18" i="2"/>
  <c r="AO12" i="11"/>
  <c r="B12" i="6"/>
  <c r="H13" i="12"/>
  <c r="F13" i="7"/>
  <c r="AJ19" i="8"/>
  <c r="T13" i="16"/>
  <c r="I19" i="8"/>
  <c r="AP13" i="16"/>
  <c r="F11" i="11"/>
  <c r="AQ11" i="11" s="1"/>
  <c r="T18" i="17"/>
  <c r="BF15" i="13"/>
  <c r="BE16" i="13"/>
  <c r="BF16" i="13"/>
  <c r="Z20" i="20"/>
  <c r="H20" i="20"/>
  <c r="AK20" i="20"/>
  <c r="T20" i="20"/>
  <c r="O16" i="11"/>
  <c r="G18" i="14"/>
  <c r="AL19" i="8" l="1"/>
  <c r="L19" i="8"/>
  <c r="AV18" i="21"/>
  <c r="L11" i="14"/>
  <c r="AY13" i="8"/>
  <c r="AE13" i="17"/>
  <c r="D13" i="7"/>
  <c r="BE9" i="8"/>
  <c r="I9" i="7" s="1"/>
  <c r="BE15" i="13"/>
  <c r="R8" i="9"/>
  <c r="X12" i="17"/>
  <c r="T17" i="20"/>
  <c r="U10" i="21"/>
  <c r="X16" i="20"/>
  <c r="V9" i="16"/>
  <c r="L9" i="2"/>
  <c r="L15" i="2"/>
  <c r="X9" i="16"/>
  <c r="X19" i="16" s="1"/>
  <c r="S10" i="14"/>
  <c r="V10" i="14" s="1"/>
  <c r="R10" i="14"/>
  <c r="R16" i="14"/>
  <c r="S15" i="14"/>
  <c r="V15" i="14" s="1"/>
  <c r="X16" i="17"/>
  <c r="AA15" i="16"/>
  <c r="AA9" i="16"/>
  <c r="V15" i="16"/>
  <c r="S11" i="17"/>
  <c r="X10" i="21"/>
  <c r="S16" i="17"/>
  <c r="AB13" i="21"/>
  <c r="AB19" i="21" s="1"/>
  <c r="BD16" i="13"/>
  <c r="F15" i="16"/>
  <c r="BL15" i="16" s="1"/>
  <c r="AU18" i="21"/>
  <c r="H9" i="7"/>
  <c r="AI19" i="8"/>
  <c r="D11" i="12"/>
  <c r="AL12" i="11"/>
  <c r="B17" i="6"/>
  <c r="H15" i="2"/>
  <c r="AN17" i="11"/>
  <c r="AN15" i="11"/>
  <c r="BE13" i="21"/>
  <c r="BE19" i="21" s="1"/>
  <c r="BD18" i="19"/>
  <c r="CN19" i="19"/>
  <c r="BD12" i="13"/>
  <c r="AC19" i="13"/>
  <c r="AA19" i="13"/>
  <c r="W19" i="13"/>
  <c r="BE17" i="13"/>
  <c r="BG10" i="13"/>
  <c r="E12" i="6"/>
  <c r="AV18" i="17"/>
  <c r="BE11" i="8"/>
  <c r="I11" i="7" s="1"/>
  <c r="BG12" i="8"/>
  <c r="BE15" i="8"/>
  <c r="BD16" i="8"/>
  <c r="AO17" i="17"/>
  <c r="AC19" i="17"/>
  <c r="BN18" i="16"/>
  <c r="BN19" i="16" s="1"/>
  <c r="F11" i="16"/>
  <c r="AH13" i="16"/>
  <c r="M13" i="2"/>
  <c r="AP15" i="11"/>
  <c r="AP11" i="11"/>
  <c r="H12" i="7"/>
  <c r="H12" i="2"/>
  <c r="J9" i="2"/>
  <c r="K12" i="7"/>
  <c r="BB19" i="19"/>
  <c r="AP13" i="20"/>
  <c r="AS13" i="21"/>
  <c r="AO18" i="20"/>
  <c r="ER19" i="19"/>
  <c r="AB19" i="13"/>
  <c r="BG11" i="13"/>
  <c r="BA18" i="13"/>
  <c r="AY13" i="13"/>
  <c r="BF9" i="8"/>
  <c r="AL17" i="11"/>
  <c r="C17" i="6"/>
  <c r="F16" i="17"/>
  <c r="F17" i="17"/>
  <c r="AQ17" i="17" s="1"/>
  <c r="H18" i="16"/>
  <c r="C12" i="14"/>
  <c r="K12" i="14" s="1"/>
  <c r="F15" i="11"/>
  <c r="AQ15" i="11" s="1"/>
  <c r="F11" i="12"/>
  <c r="Y12" i="11"/>
  <c r="R18" i="11"/>
  <c r="C13" i="5"/>
  <c r="K15" i="7"/>
  <c r="AM15" i="11"/>
  <c r="L17" i="14"/>
  <c r="I12" i="7"/>
  <c r="F17" i="2"/>
  <c r="Z19" i="19"/>
  <c r="U19" i="19"/>
  <c r="AR13" i="20"/>
  <c r="P19" i="19"/>
  <c r="AB19" i="19"/>
  <c r="BE11" i="13"/>
  <c r="V19" i="13"/>
  <c r="AQ19" i="13"/>
  <c r="BC18" i="13"/>
  <c r="BF18" i="13" s="1"/>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F15" i="17"/>
  <c r="AQ15" i="17" s="1"/>
  <c r="AT18" i="17"/>
  <c r="AF13" i="21"/>
  <c r="AF19" i="21" s="1"/>
  <c r="F12" i="21"/>
  <c r="AO13" i="21"/>
  <c r="N13" i="2"/>
  <c r="C10" i="14"/>
  <c r="K10" i="14" s="1"/>
  <c r="F9" i="12"/>
  <c r="G9" i="12"/>
  <c r="E9" i="12"/>
  <c r="D9" i="12"/>
  <c r="AP10" i="11"/>
  <c r="F17" i="11"/>
  <c r="AQ17" i="11" s="1"/>
  <c r="AE13" i="11"/>
  <c r="AH13" i="11"/>
  <c r="F9" i="11"/>
  <c r="AP9" i="11"/>
  <c r="Y11" i="11"/>
  <c r="Y17" i="11"/>
  <c r="J12" i="7"/>
  <c r="D12" i="6"/>
  <c r="G12" i="3"/>
  <c r="G10" i="3"/>
  <c r="D16" i="6"/>
  <c r="E18" i="2"/>
  <c r="C16" i="6"/>
  <c r="I18" i="2"/>
  <c r="G18" i="2"/>
  <c r="B16" i="6"/>
  <c r="N18" i="2"/>
  <c r="T10" i="2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K17" i="7" s="1"/>
  <c r="F9" i="2"/>
  <c r="AO9" i="11"/>
  <c r="E13" i="2"/>
  <c r="F13" i="2" s="1"/>
  <c r="C9" i="6"/>
  <c r="D11" i="2"/>
  <c r="E11" i="6"/>
  <c r="E9" i="6"/>
  <c r="AL19" i="16"/>
  <c r="BA13" i="8"/>
  <c r="BD15" i="8"/>
  <c r="H15" i="7" s="1"/>
  <c r="AO16" i="17"/>
  <c r="I13" i="2"/>
  <c r="J13" i="2" s="1"/>
  <c r="D17" i="2"/>
  <c r="AO11" i="11"/>
  <c r="AL11" i="11"/>
  <c r="F12" i="11"/>
  <c r="AQ12" i="11" s="1"/>
  <c r="BF16" i="8"/>
  <c r="AB19" i="8"/>
  <c r="X19" i="8"/>
  <c r="B11" i="6"/>
  <c r="L12" i="14"/>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T20" i="21"/>
  <c r="U16" i="11"/>
  <c r="AX20" i="20"/>
  <c r="Y20" i="20"/>
  <c r="O10" i="11"/>
  <c r="AM20" i="20"/>
  <c r="Q20" i="20"/>
  <c r="AB20" i="20"/>
  <c r="AI20" i="20"/>
  <c r="AZ20" i="20"/>
  <c r="AV20" i="20"/>
  <c r="AU20" i="20"/>
  <c r="M20" i="20"/>
  <c r="AQ20" i="21"/>
  <c r="AP20" i="20"/>
  <c r="AH20" i="20"/>
  <c r="N20" i="20"/>
  <c r="AD20" i="20"/>
  <c r="AE20" i="20"/>
  <c r="AG20" i="20"/>
  <c r="I20" i="20"/>
  <c r="I9" i="12" l="1"/>
  <c r="AB21" i="21"/>
  <c r="X12" i="21"/>
  <c r="AP16" i="20"/>
  <c r="BH9" i="16"/>
  <c r="V15" i="11"/>
  <c r="BJ17" i="11"/>
  <c r="BH15" i="11"/>
  <c r="BH15" i="16"/>
  <c r="Q17" i="20"/>
  <c r="Q18" i="20" s="1"/>
  <c r="BL17" i="11"/>
  <c r="BK12" i="11"/>
  <c r="BF10" i="11"/>
  <c r="BK9" i="11"/>
  <c r="X11" i="17"/>
  <c r="BK15" i="11"/>
  <c r="X9" i="17"/>
  <c r="AZ17" i="11"/>
  <c r="BI10" i="11"/>
  <c r="Q10" i="21"/>
  <c r="V9" i="11"/>
  <c r="BJ11" i="11"/>
  <c r="R10" i="21"/>
  <c r="BI17" i="11"/>
  <c r="BG9" i="11"/>
  <c r="BL11" i="11"/>
  <c r="BH17" i="11"/>
  <c r="BM15" i="11"/>
  <c r="T17" i="16"/>
  <c r="T15" i="16"/>
  <c r="BU15" i="17"/>
  <c r="BW9" i="20"/>
  <c r="BW17" i="20"/>
  <c r="BV16" i="16"/>
  <c r="BW16" i="20"/>
  <c r="BV15" i="16"/>
  <c r="BW15" i="20"/>
  <c r="BU9" i="17"/>
  <c r="BV10" i="16"/>
  <c r="BU17" i="17"/>
  <c r="BU16" i="17"/>
  <c r="BV9" i="16"/>
  <c r="AZ12" i="11"/>
  <c r="T15" i="11"/>
  <c r="T16" i="11"/>
  <c r="BG12" i="11"/>
  <c r="Q17" i="17"/>
  <c r="BH10" i="11"/>
  <c r="BI9" i="11"/>
  <c r="AQ10" i="21"/>
  <c r="BJ10" i="11"/>
  <c r="BK16" i="11"/>
  <c r="BH11" i="11"/>
  <c r="BG16" i="11"/>
  <c r="T11" i="11"/>
  <c r="BH16" i="11"/>
  <c r="AQ12" i="21"/>
  <c r="BJ16" i="11"/>
  <c r="BL16" i="11"/>
  <c r="L12" i="2"/>
  <c r="U9" i="17"/>
  <c r="U19" i="17" s="1"/>
  <c r="BF11" i="11"/>
  <c r="BL9" i="11"/>
  <c r="BG10" i="11"/>
  <c r="P17" i="17"/>
  <c r="BF16" i="11"/>
  <c r="BL12" i="11"/>
  <c r="V12" i="21"/>
  <c r="BK11" i="11"/>
  <c r="AP10" i="21"/>
  <c r="BH9" i="11"/>
  <c r="BJ15" i="11"/>
  <c r="AP15" i="20"/>
  <c r="R17" i="20"/>
  <c r="R18" i="20" s="1"/>
  <c r="AZ9" i="11"/>
  <c r="AZ15" i="11"/>
  <c r="AZ18" i="11" s="1"/>
  <c r="BV17" i="16"/>
  <c r="BV12" i="16"/>
  <c r="BV11" i="16"/>
  <c r="U10" i="17"/>
  <c r="V12" i="16"/>
  <c r="AA16" i="16"/>
  <c r="AZ16" i="11"/>
  <c r="AZ11" i="11"/>
  <c r="S15" i="16"/>
  <c r="BF12" i="11"/>
  <c r="BL10" i="11"/>
  <c r="Q15" i="17"/>
  <c r="BF15" i="11"/>
  <c r="BM9" i="11"/>
  <c r="BK10" i="11"/>
  <c r="X15" i="16"/>
  <c r="X18" i="16" s="1"/>
  <c r="T9" i="11"/>
  <c r="BH11" i="16"/>
  <c r="BH17" i="16"/>
  <c r="BM16" i="11"/>
  <c r="BF17" i="11"/>
  <c r="S17" i="16"/>
  <c r="V17" i="16"/>
  <c r="V11" i="11"/>
  <c r="BM12" i="11"/>
  <c r="BI15" i="11"/>
  <c r="BJ12" i="11"/>
  <c r="BG15" i="11"/>
  <c r="BK17" i="11"/>
  <c r="AP17" i="20"/>
  <c r="BU11" i="17"/>
  <c r="BU10" i="17"/>
  <c r="BW12" i="20"/>
  <c r="BW11" i="20"/>
  <c r="BW10" i="20"/>
  <c r="BU12" i="17"/>
  <c r="S11" i="14"/>
  <c r="V11" i="14" s="1"/>
  <c r="X17" i="17"/>
  <c r="P15" i="17"/>
  <c r="P18" i="17" s="1"/>
  <c r="P19" i="17" s="1"/>
  <c r="BL15" i="11"/>
  <c r="BH10" i="16"/>
  <c r="BM17" i="11"/>
  <c r="S17" i="17"/>
  <c r="BH12" i="16"/>
  <c r="L10" i="2"/>
  <c r="S15" i="17"/>
  <c r="V10" i="16"/>
  <c r="R17" i="14"/>
  <c r="S16" i="14"/>
  <c r="V16" i="14" s="1"/>
  <c r="X13" i="20"/>
  <c r="AM12" i="11"/>
  <c r="AM11" i="11"/>
  <c r="AM9" i="11"/>
  <c r="AO10" i="17"/>
  <c r="AO9" i="17"/>
  <c r="V10" i="21"/>
  <c r="X13" i="17"/>
  <c r="AQ13" i="21"/>
  <c r="AO15" i="17"/>
  <c r="X12" i="16"/>
  <c r="L16" i="2"/>
  <c r="S9" i="17"/>
  <c r="AA11" i="16"/>
  <c r="X15" i="17"/>
  <c r="X10" i="17"/>
  <c r="T17" i="11"/>
  <c r="S9" i="14"/>
  <c r="V9" i="14" s="1"/>
  <c r="R12" i="14"/>
  <c r="S17" i="14"/>
  <c r="V17" i="14" s="1"/>
  <c r="V15" i="20"/>
  <c r="V18" i="20" s="1"/>
  <c r="L17" i="2"/>
  <c r="L11" i="2"/>
  <c r="V11" i="16"/>
  <c r="S10" i="17"/>
  <c r="AA12" i="21"/>
  <c r="X17" i="20"/>
  <c r="AA17" i="16"/>
  <c r="AA10" i="16"/>
  <c r="T12" i="11"/>
  <c r="R11" i="14"/>
  <c r="S12" i="14"/>
  <c r="V12" i="14" s="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8" i="16" l="1"/>
  <c r="S19" i="16" s="1"/>
  <c r="Q9" i="11"/>
  <c r="AZ19" i="11"/>
  <c r="AZ13" i="11"/>
  <c r="R13" i="21"/>
  <c r="R19" i="21" s="1"/>
  <c r="BJ18" i="1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W20" i="11"/>
  <c r="O17" i="11"/>
  <c r="AO20" i="20"/>
  <c r="H20" i="17"/>
  <c r="AN20" i="20"/>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S20" i="16"/>
  <c r="J20" i="16"/>
  <c r="AO20" i="16"/>
  <c r="AD20" i="16"/>
  <c r="Y20" i="16"/>
  <c r="J20" i="21"/>
  <c r="AC20" i="11"/>
  <c r="Q20" i="17"/>
  <c r="AS20" i="11"/>
  <c r="L20" i="21"/>
  <c r="V20" i="16"/>
  <c r="AS20" i="21"/>
  <c r="BH20" i="16"/>
  <c r="AW20" i="21"/>
  <c r="AO20" i="17"/>
  <c r="I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T20" i="17"/>
  <c r="AN20" i="17"/>
  <c r="V20" i="21"/>
  <c r="BC20" i="21"/>
  <c r="AZ20" i="11"/>
  <c r="AH20" i="17"/>
  <c r="M20" i="16"/>
  <c r="AF20" i="16"/>
  <c r="Y20" i="11"/>
  <c r="BD20" i="16"/>
  <c r="AV20" i="17"/>
  <c r="AH20" i="21"/>
  <c r="E20" i="16"/>
  <c r="AR20" i="11"/>
  <c r="BI20" i="16"/>
  <c r="G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AI20" i="11"/>
  <c r="W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<sst xmlns="http://schemas.openxmlformats.org/spreadsheetml/2006/main" count="2080" uniqueCount="913">
  <si>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</si>
  <si>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</si>
  <si>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</si>
  <si>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</si>
  <si>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</si>
  <si>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</si>
  <si>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</si>
  <si>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</si>
  <si>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</si>
  <si>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</si>
  <si>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</si>
  <si>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</si>
  <si>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</si>
  <si>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</si>
  <si>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</si>
  <si>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</si>
  <si>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</si>
  <si>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</si>
  <si>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</si>
  <si>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</si>
  <si>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</si>
  <si>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</si>
  <si>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</si>
  <si>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</si>
  <si>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</si>
  <si>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</si>
  <si>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</si>
  <si>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</si>
  <si>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</si>
  <si>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</si>
  <si>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</si>
  <si>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</si>
  <si>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</si>
  <si>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</si>
  <si>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</si>
  <si>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</si>
  <si>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</si>
  <si>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</si>
  <si>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</si>
  <si>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</si>
  <si>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</si>
  <si>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</si>
  <si>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</si>
  <si>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</si>
  <si>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</si>
  <si>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</si>
  <si>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</si>
  <si>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</si>
  <si>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</si>
  <si>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</si>
  <si>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</si>
  <si>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</si>
  <si>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</si>
  <si>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</si>
  <si>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</si>
  <si>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</si>
  <si>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</si>
  <si>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</si>
  <si>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</si>
  <si>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</si>
  <si>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</si>
  <si>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</si>
  <si>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</si>
  <si>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</si>
  <si>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</si>
  <si>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</si>
  <si>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</si>
  <si>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</si>
  <si>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</si>
  <si>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</si>
  <si>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</si>
  <si>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</si>
  <si>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</si>
  <si>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</si>
  <si>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</si>
  <si>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</si>
  <si>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</si>
  <si>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</si>
  <si>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</si>
  <si>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</si>
  <si>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</si>
  <si>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</si>
  <si>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</si>
  <si>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</si>
  <si>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</si>
  <si>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</si>
  <si>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</si>
  <si>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</si>
  <si>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</si>
  <si>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</si>
  <si>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</si>
  <si>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</si>
  <si>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</si>
  <si>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</si>
  <si>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</si>
  <si>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</si>
  <si>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</si>
  <si>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</si>
  <si>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</si>
  <si>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</si>
  <si>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</si>
  <si>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</si>
  <si>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</si>
  <si>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</si>
  <si>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</si>
  <si>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</si>
  <si>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</si>
  <si>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</si>
  <si>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</si>
  <si>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</si>
  <si>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</si>
  <si>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</si>
  <si>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</si>
  <si>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</si>
  <si>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</si>
  <si>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</si>
  <si>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</si>
  <si>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</si>
  <si>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</si>
  <si>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</si>
  <si>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</si>
  <si>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</si>
  <si>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</si>
  <si>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</si>
  <si>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</si>
  <si>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</si>
  <si>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</si>
  <si>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</si>
  <si>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</si>
  <si>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</si>
  <si>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</si>
  <si>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</si>
  <si>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</si>
  <si>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</si>
  <si>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</si>
  <si>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</si>
  <si>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</si>
  <si>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</si>
  <si>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</si>
  <si>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</si>
  <si>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</si>
  <si>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</si>
  <si>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</si>
  <si>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</si>
  <si>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</si>
  <si>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</si>
  <si>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</si>
  <si>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</si>
  <si>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</si>
  <si>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</si>
  <si>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</si>
  <si>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</si>
  <si>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</si>
  <si>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</si>
  <si>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</si>
  <si>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</si>
  <si>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</si>
  <si>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</si>
  <si>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</si>
  <si>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</si>
  <si>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</si>
  <si>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</si>
  <si>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</si>
  <si>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</si>
  <si>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</si>
  <si>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</si>
  <si>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</si>
  <si>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</si>
  <si>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</si>
  <si>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</si>
  <si>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</si>
  <si>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</si>
  <si>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</si>
  <si>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</si>
  <si>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</si>
  <si>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</si>
  <si>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</si>
  <si>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</si>
  <si>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</si>
  <si>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</si>
  <si>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</si>
  <si>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</si>
  <si>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</si>
  <si>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</si>
  <si>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</si>
  <si>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</si>
  <si>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</si>
  <si>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</si>
  <si>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</si>
  <si>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</si>
  <si>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</si>
  <si>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</si>
  <si>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</si>
  <si>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</si>
  <si>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</si>
  <si>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</si>
  <si>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</si>
  <si>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</si>
  <si>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</si>
  <si>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</si>
  <si>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</si>
  <si>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</si>
  <si>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</si>
  <si>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</si>
  <si>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</si>
  <si>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</si>
  <si>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</si>
  <si>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</si>
  <si>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</si>
  <si>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</si>
  <si>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</si>
  <si>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</si>
  <si>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</si>
  <si>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</si>
  <si>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</si>
  <si>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</si>
  <si>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</si>
  <si>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</si>
  <si>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</si>
  <si>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</si>
  <si>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</si>
  <si>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</si>
  <si>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</si>
  <si>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</si>
  <si>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</si>
  <si>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</si>
  <si>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</si>
  <si>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</si>
  <si>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</si>
  <si>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</si>
  <si>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</si>
  <si>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</si>
  <si>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</si>
  <si>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</si>
  <si>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</si>
  <si>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</si>
  <si>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</si>
  <si>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</si>
  <si>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</si>
  <si>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</si>
  <si>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</si>
  <si>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</si>
  <si>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</si>
  <si>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</si>
  <si>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</si>
  <si>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</si>
  <si>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</si>
  <si>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</si>
  <si>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</si>
  <si>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</si>
  <si>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</si>
  <si>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</si>
  <si>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</si>
  <si>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</si>
  <si>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</si>
  <si>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</si>
  <si>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</si>
  <si>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</si>
  <si>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</si>
  <si>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</si>
  <si>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</si>
  <si>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</si>
  <si>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</si>
  <si>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</si>
  <si>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</si>
  <si>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</si>
  <si>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</si>
  <si>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</si>
  <si>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</si>
  <si>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</si>
  <si>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</si>
  <si>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</si>
  <si>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</si>
  <si>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</si>
  <si>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</si>
  <si>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</si>
  <si>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</si>
  <si>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</si>
  <si>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</si>
  <si>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</si>
  <si>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</si>
  <si>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</si>
  <si>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</si>
  <si>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</si>
  <si>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</si>
  <si>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</si>
  <si>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</si>
  <si>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</si>
  <si>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</si>
  <si>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</si>
  <si>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</si>
  <si>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</si>
  <si>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</si>
  <si>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</si>
  <si>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</si>
  <si>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</si>
  <si>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</si>
  <si>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</si>
  <si>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</si>
  <si>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</si>
  <si>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</si>
  <si>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</si>
  <si>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</si>
  <si>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</si>
  <si>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</si>
  <si>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</si>
  <si>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</si>
  <si>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</si>
  <si>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</si>
  <si>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</si>
  <si>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</si>
  <si>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</si>
  <si>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</si>
  <si>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</si>
  <si>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</si>
  <si>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</si>
  <si>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</si>
  <si>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</si>
  <si>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</si>
  <si>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</si>
  <si>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</si>
  <si>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</si>
  <si>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</si>
  <si>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</si>
  <si>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</si>
  <si>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</si>
  <si>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</si>
  <si>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</si>
  <si>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</si>
  <si>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</si>
  <si>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</si>
  <si>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</si>
  <si>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</si>
  <si>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</si>
  <si>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</si>
  <si>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</si>
  <si>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</si>
  <si>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</si>
  <si>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</si>
  <si>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</si>
  <si>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</si>
  <si>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</si>
  <si>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</si>
  <si>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</si>
  <si>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</si>
  <si>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</si>
  <si>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</si>
  <si>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</si>
  <si>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</si>
  <si>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</si>
  <si>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</si>
  <si>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</si>
  <si>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</si>
  <si>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</si>
  <si>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</si>
  <si>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</si>
  <si>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</si>
  <si>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</si>
  <si>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</si>
  <si>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</si>
  <si>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</si>
  <si>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</si>
  <si>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</si>
  <si>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</si>
  <si>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</si>
  <si>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</si>
  <si>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</si>
  <si>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</si>
  <si>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</si>
  <si>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</si>
  <si>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</si>
  <si>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</si>
  <si>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</si>
  <si>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</si>
  <si>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</si>
  <si>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</si>
  <si>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</si>
  <si>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</si>
  <si>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</si>
  <si>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</si>
  <si>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</si>
  <si>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</si>
  <si>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</si>
  <si>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</si>
  <si>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</si>
  <si>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</si>
  <si>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</si>
  <si>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</si>
  <si>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</si>
  <si>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</si>
  <si>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</si>
  <si>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</si>
  <si>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</si>
  <si>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</si>
  <si>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</si>
  <si>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</si>
  <si>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</si>
  <si>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</si>
  <si>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</si>
  <si>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</si>
  <si>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</si>
  <si>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</si>
  <si>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</si>
  <si>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</si>
  <si>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</si>
  <si>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</si>
  <si>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</si>
  <si>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</si>
  <si>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</si>
  <si>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</si>
  <si>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</si>
  <si>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</si>
  <si>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</si>
  <si>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</si>
  <si>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</si>
  <si>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</si>
  <si>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</si>
  <si>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</si>
  <si>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</si>
  <si>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</si>
  <si>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</si>
  <si>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</si>
  <si>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</si>
  <si>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</si>
  <si>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</si>
  <si>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</si>
  <si>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</si>
  <si>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</si>
  <si>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</si>
  <si>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</si>
  <si>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</si>
  <si>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</si>
  <si>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</si>
  <si>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</si>
  <si>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</si>
  <si>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</si>
  <si>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</si>
  <si>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</si>
  <si>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</si>
  <si>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</si>
  <si>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</si>
  <si>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</si>
  <si>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</si>
  <si>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</si>
  <si>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</si>
  <si>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</si>
  <si>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</si>
  <si>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</si>
  <si>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</si>
  <si>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</si>
  <si>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</si>
  <si>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</si>
  <si>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</si>
  <si>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</si>
  <si>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</si>
  <si>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</si>
  <si>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</si>
  <si>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</si>
  <si>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</si>
  <si>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</si>
  <si>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</si>
  <si>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</si>
  <si>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</si>
  <si>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</si>
  <si>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</si>
  <si>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</si>
  <si>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</si>
  <si>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</si>
  <si>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</si>
  <si>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</si>
  <si>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</si>
  <si>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</si>
  <si>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</si>
  <si>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</si>
  <si>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</si>
  <si>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</si>
  <si>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</si>
  <si>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</si>
  <si>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</si>
  <si>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</si>
  <si>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</si>
  <si>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</si>
  <si>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</si>
  <si>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</si>
  <si>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</si>
  <si>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</si>
  <si>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</si>
  <si>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</si>
  <si>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</si>
  <si>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</si>
  <si>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</si>
  <si>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</si>
  <si>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</si>
  <si>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</si>
  <si>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</si>
  <si>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</si>
  <si>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</si>
  <si>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</si>
  <si>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</si>
  <si>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</si>
  <si>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</si>
  <si>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</si>
  <si>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</si>
  <si>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</si>
  <si>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</si>
  <si>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</si>
  <si>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</si>
  <si>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</si>
  <si>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</si>
  <si>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</si>
  <si>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</si>
  <si>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</si>
  <si>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</si>
  <si>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</si>
  <si>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</si>
  <si>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</si>
  <si>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</si>
  <si>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</si>
  <si>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</si>
  <si>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</si>
  <si>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</si>
  <si>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</si>
  <si>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</si>
  <si>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</si>
  <si>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</si>
  <si>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</si>
  <si>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</si>
  <si>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</si>
  <si>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</si>
  <si>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</si>
  <si>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</si>
  <si>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</si>
  <si>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</si>
  <si>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</si>
  <si>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</si>
  <si>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</si>
  <si>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</si>
  <si>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</si>
  <si>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</si>
  <si>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</si>
  <si>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</si>
  <si>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</si>
  <si>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</si>
  <si>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</si>
  <si>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</si>
  <si>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</si>
  <si>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</si>
  <si>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</si>
  <si>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</si>
  <si>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</si>
  <si>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</si>
  <si>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</si>
  <si>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</si>
  <si>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</si>
  <si>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</si>
  <si>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</si>
  <si>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</si>
  <si>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</si>
  <si>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</si>
  <si>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</si>
  <si>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</si>
  <si>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</si>
  <si>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</si>
  <si>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</si>
  <si>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</si>
  <si>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</si>
  <si>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</si>
  <si>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</si>
  <si>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</si>
  <si>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</si>
  <si>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</si>
  <si>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</si>
  <si>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</si>
  <si>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</si>
  <si>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</si>
  <si>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</si>
  <si>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</si>
  <si>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</si>
  <si>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</si>
  <si>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</si>
  <si>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</si>
  <si>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</si>
  <si>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</si>
  <si>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</si>
  <si>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</si>
  <si>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</si>
  <si>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</si>
  <si>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</si>
  <si>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</si>
  <si>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</si>
  <si>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</si>
  <si>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</si>
  <si>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</si>
  <si>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</si>
  <si>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</si>
  <si>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</si>
  <si>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</si>
  <si>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</si>
  <si>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</si>
  <si>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</si>
  <si>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</si>
  <si>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</si>
  <si>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</si>
  <si>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</si>
  <si>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</si>
  <si>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</si>
  <si>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</si>
  <si>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</si>
  <si>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</si>
  <si>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</si>
  <si>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</si>
  <si>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</si>
  <si>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</si>
  <si>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</si>
  <si>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</si>
  <si>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</si>
  <si>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</si>
  <si>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</si>
  <si>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</si>
  <si>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</si>
  <si>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</si>
  <si>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</si>
  <si>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</si>
  <si>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</si>
  <si>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</si>
  <si>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</si>
  <si>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</si>
  <si>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</si>
  <si>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</si>
  <si>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</si>
  <si>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</si>
  <si>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</si>
  <si>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</si>
  <si>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</si>
  <si>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</si>
  <si>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</si>
  <si>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</si>
  <si>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</si>
  <si>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</si>
  <si>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</si>
  <si>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</si>
  <si>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</si>
  <si>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</si>
  <si>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</si>
  <si>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</si>
  <si>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</si>
  <si>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</si>
  <si>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</si>
  <si>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</si>
  <si>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</si>
  <si>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</si>
  <si>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</si>
  <si>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</si>
  <si>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</si>
  <si>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</si>
  <si>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</si>
  <si>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</si>
  <si>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</si>
  <si>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</si>
  <si>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</si>
  <si>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</si>
  <si>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</si>
  <si>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</si>
  <si>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</si>
  <si>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</si>
  <si>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</si>
  <si>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</si>
  <si>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</si>
  <si>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</si>
  <si>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</si>
  <si>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</si>
  <si>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</si>
  <si>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</si>
  <si>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</si>
  <si>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</si>
  <si>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</si>
  <si>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</si>
  <si>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</si>
  <si>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</si>
  <si>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</si>
  <si>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</si>
  <si>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</si>
  <si>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</si>
  <si>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</si>
  <si>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</si>
  <si>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</si>
  <si>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</si>
  <si>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</si>
  <si>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</si>
  <si>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</si>
  <si>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</si>
  <si>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</si>
  <si>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</si>
  <si>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</si>
  <si>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</si>
  <si>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</si>
  <si>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</si>
  <si>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</si>
  <si>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</si>
  <si>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</si>
  <si>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</si>
  <si>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</si>
  <si>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</si>
  <si>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</si>
  <si>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</si>
  <si>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</si>
  <si>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</si>
  <si>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</si>
  <si>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</si>
  <si>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</si>
  <si>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</si>
  <si>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</si>
  <si>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</si>
  <si>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</si>
  <si>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</si>
  <si>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</si>
  <si>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</si>
  <si>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</si>
  <si>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</si>
  <si>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</si>
  <si>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</si>
  <si>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</si>
  <si>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</si>
  <si>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</si>
  <si>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</si>
  <si>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</si>
  <si>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</si>
  <si>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</si>
  <si>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</si>
  <si>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</si>
  <si>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</si>
  <si>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</si>
  <si>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</si>
  <si>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</si>
  <si>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</si>
  <si>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</si>
  <si>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</si>
  <si>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</si>
  <si>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</si>
  <si>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</si>
  <si>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</si>
  <si>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</si>
  <si>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</si>
  <si>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</si>
  <si>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</si>
  <si>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</si>
  <si>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</si>
  <si>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</si>
  <si>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</si>
  <si>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</si>
  <si>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</si>
  <si>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</si>
  <si>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</si>
  <si>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</si>
  <si>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</si>
  <si>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</si>
  <si>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</si>
  <si>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</si>
  <si>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</si>
  <si>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</si>
  <si>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</si>
  <si>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</si>
  <si>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</si>
  <si>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</si>
  <si>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</si>
  <si>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</si>
  <si>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</si>
  <si>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</si>
  <si>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</si>
  <si>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</si>
  <si>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</si>
  <si>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</si>
  <si>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</si>
  <si>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</si>
  <si>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</si>
  <si>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</si>
  <si>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</si>
  <si>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</si>
  <si>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</si>
  <si>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</si>
  <si>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</si>
  <si>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</si>
  <si>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</si>
  <si>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</si>
  <si>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</si>
  <si>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</si>
  <si>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</si>
  <si>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</si>
  <si>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</si>
  <si>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</si>
  <si>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</si>
  <si>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</si>
  <si>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</si>
  <si>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</si>
  <si>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</si>
  <si>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</si>
  <si>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</si>
  <si>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</si>
  <si>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</si>
  <si>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</si>
  <si>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</si>
  <si>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</si>
  <si>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</si>
  <si>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</si>
  <si>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</si>
  <si>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</si>
  <si>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</si>
  <si>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</si>
  <si>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</si>
  <si>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</si>
  <si>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</si>
  <si>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</si>
  <si>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</si>
  <si>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</si>
  <si>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</si>
  <si>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</si>
  <si>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</si>
  <si>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</si>
  <si>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</si>
  <si>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</si>
  <si>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</si>
  <si>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</si>
  <si>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</si>
  <si>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</si>
  <si>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</si>
  <si>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</si>
  <si>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</si>
  <si>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</si>
  <si>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</si>
  <si>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</si>
  <si>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</si>
  <si>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</si>
  <si>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</si>
  <si>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</si>
  <si>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</si>
  <si>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</si>
  <si>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</si>
  <si>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</si>
  <si>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</si>
  <si>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</si>
  <si>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</si>
  <si>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</si>
  <si>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</si>
  <si>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</si>
  <si>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</si>
  <si>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</si>
  <si>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</si>
  <si>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</si>
  <si>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</si>
  <si>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</si>
  <si>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</si>
  <si>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</si>
  <si>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</si>
  <si>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</si>
  <si>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</si>
  <si>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</si>
  <si>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</si>
  <si>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</si>
  <si>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</si>
  <si>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</si>
  <si>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</si>
  <si>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</si>
  <si>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</si>
  <si>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</si>
  <si>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</si>
  <si>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</si>
  <si>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</si>
  <si>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</si>
  <si>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</si>
  <si>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</si>
  <si>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</si>
  <si>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</si>
  <si>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</si>
  <si>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</si>
  <si>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</si>
  <si>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</si>
  <si>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</si>
  <si>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</si>
  <si>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</si>
  <si>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</si>
  <si>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</si>
  <si>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</si>
  <si>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</si>
  <si>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</si>
  <si>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</si>
  <si>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</si>
  <si>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</si>
  <si>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</si>
  <si>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</si>
  <si>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</si>
  <si>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</si>
  <si>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</si>
  <si>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</si>
  <si>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</si>
  <si>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</si>
  <si>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</si>
  <si>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</si>
  <si>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</si>
  <si>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</si>
  <si>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</si>
  <si>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</si>
  <si>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</si>
  <si>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</si>
  <si>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</si>
  <si>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</si>
  <si>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</si>
  <si>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</si>
  <si>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</si>
  <si>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</si>
  <si>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ANDALUCIA</t>
  </si>
  <si>
    <t>Provincias</t>
  </si>
  <si>
    <t>HUELVA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</si>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</sst>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911</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96tIKTK7OM/t9iHWByOdJ3yccLIwmqi0YaQf9BkviYLGG6/vtzK4cqUZ9oBJTf2ZoPQOlNCouHUC9m3zoFYvw==" saltValue="NpZSzCy5UZxDudSEtSEx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ANDALUCIA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6</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f>IF(ISNUMBER(NºAsuntos!I9/NºAsuntos!G9),(NºAsuntos!I9/NºAsuntos!G9)*11," - ")</f>
        <v>23.712213986464715</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108</v>
      </c>
      <c r="D10" s="225">
        <f>IF(ISNUMBER(Datos!I10),Datos!I10," - ")</f>
        <v>108</v>
      </c>
      <c r="E10" s="226">
        <f>IF(ISNUMBER(Datos!J10),Datos!J10," - ")</f>
        <v>52</v>
      </c>
      <c r="F10" s="226">
        <f>IF(ISNUMBER(Datos!K10),Datos!K10," - ")</f>
        <v>44</v>
      </c>
      <c r="G10" s="1034" t="str">
        <f>IF(Datos!E10&lt;&gt;"",Datos!E10,Datos!D10)</f>
        <v>37</v>
      </c>
      <c r="H10" s="227">
        <f>IF(ISNUMBER(Datos!L10),Datos!L10," - ")</f>
        <v>116</v>
      </c>
      <c r="I10" s="1044" t="str">
        <f>IF(ISNUMBER(Datos!AS10/Datos!BM10),Datos!AS10/Datos!BM10," - ")</f>
        <v xml:space="preserve"> - </v>
      </c>
      <c r="J10" s="1045">
        <f>IF(ISNUMBER(Datos!BY10/Datos!CN10),Datos!BY10/Datos!CN10," - ")</f>
        <v>0</v>
      </c>
      <c r="K10" s="230">
        <f t="shared" ref="K10:K12" si="1">IF(ISNUMBER((E10-F10)/C10),(E10-F10)/C10," - ")</f>
        <v>7.407407407407407E-2</v>
      </c>
      <c r="L10" s="1025">
        <f>IF(ISNUMBER(NºAsuntos!I10/NºAsuntos!G10),(NºAsuntos!I10/NºAsuntos!G10)*11," - ")</f>
        <v>29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2</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f>IF(ISNUMBER(NºAsuntos!I11/NºAsuntos!G11),(NºAsuntos!I11/NºAsuntos!G11)*11," - ")</f>
        <v>18.390625</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0</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t="str">
        <f>IF(ISNUMBER(NºAsuntos!I12/NºAsuntos!G12),(NºAsuntos!I12/NºAsuntos!G12)*11," - ")</f>
        <v xml:space="preserve"> - </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108</v>
      </c>
      <c r="D13" s="1049">
        <f>SUBTOTAL(9,D9:D12)</f>
        <v>108</v>
      </c>
      <c r="E13" s="1050">
        <f>SUBTOTAL(9,E9:E12)</f>
        <v>52</v>
      </c>
      <c r="F13" s="1051">
        <f>SUBTOTAL(9,F9:F12)</f>
        <v>44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5</v>
      </c>
      <c r="B15" s="502" t="str">
        <f>Datos!A15</f>
        <v xml:space="preserve">Jdos. Instrucción                               </v>
      </c>
      <c r="C15" s="225">
        <f t="shared" ref="C15:C17" si="2">IF(ISNUMBER(H15-E15+F15),H15-E15+F15," - ")</f>
        <v>3051</v>
      </c>
      <c r="D15" s="225">
        <f>IF(ISNUMBER(IF(D_I="SI",Datos!I15,Datos!I15+Datos!AC15)),IF(D_I="SI",Datos!I15,Datos!I15+Datos!AC15)," - ")</f>
        <v>3000</v>
      </c>
      <c r="E15" s="226">
        <f>IF(ISNUMBER(IF(D_I="SI",Datos!J15,Datos!J15+Datos!AD15)),IF(D_I="SI",Datos!J15,Datos!J15+Datos!AD15)," - ")</f>
        <v>2954</v>
      </c>
      <c r="F15" s="226">
        <f>IF(ISNUMBER(IF(D_I="SI",Datos!K15,Datos!K15+Datos!AE15)),IF(D_I="SI",Datos!K15,Datos!K15+Datos!AE15)," - ")</f>
        <v>3161</v>
      </c>
      <c r="G15" s="1034" t="str">
        <f>IF(Datos!E15&lt;&gt;"",Datos!E15,Datos!D15)</f>
        <v>03</v>
      </c>
      <c r="H15" s="227">
        <f>IF(ISNUMBER(IF(D_I="SI",Datos!L15,Datos!L15+Datos!AF15)),IF(D_I="SI",Datos!L15,Datos!L15+Datos!AF15)," - ")</f>
        <v>2844</v>
      </c>
      <c r="I15" s="1044" t="str">
        <f>IF(ISNUMBER(Datos!AS15/Datos!BM15),Datos!AS15/Datos!BM15," - ")</f>
        <v xml:space="preserve"> - </v>
      </c>
      <c r="J15" s="1045">
        <f>IF(ISNUMBER(Datos!BY15/Datos!CN15),Datos!BY15/Datos!CN15," - ")</f>
        <v>0</v>
      </c>
      <c r="K15" s="230">
        <f t="shared" ref="K15:K17" si="3">IF(ISNUMBER((E15-F15)/C15),(E15-F15)/C15," - ")</f>
        <v>-6.7846607669616518E-2</v>
      </c>
      <c r="L15" s="1025">
        <f>IF(ISNUMBER(NºAsuntos!I15/NºAsuntos!G15),(NºAsuntos!I15/NºAsuntos!G15)*11," - ")</f>
        <v>9.8968680797216066</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0</v>
      </c>
      <c r="B16" s="502" t="str">
        <f>Datos!A16</f>
        <v xml:space="preserve">Jdos. 1ª Instª. e Instr.                        </v>
      </c>
      <c r="C16" s="225" t="str">
        <f t="shared" si="2"/>
        <v xml:space="preserve"> - </v>
      </c>
      <c r="D16" s="225" t="str">
        <f>IF(ISNUMBER(IF(D_I="SI",Datos!I16,Datos!I16+Datos!AC16)),IF(D_I="SI",Datos!I16,Datos!I16+Datos!AC16)," - ")</f>
        <v xml:space="preserve"> - </v>
      </c>
      <c r="E16" s="226" t="str">
        <f>IF(ISNUMBER(IF(D_I="SI",Datos!J16,Datos!J16+Datos!AD16)),IF(D_I="SI",Datos!J16,Datos!J16+Datos!AD16)," - ")</f>
        <v xml:space="preserve"> - </v>
      </c>
      <c r="F16" s="226" t="str">
        <f>IF(ISNUMBER(IF(D_I="SI",Datos!K16,Datos!K16+Datos!AE16)),IF(D_I="SI",Datos!K16,Datos!K16+Datos!AE16)," - ")</f>
        <v xml:space="preserve"> - </v>
      </c>
      <c r="G16" s="1034" t="str">
        <f>IF(Datos!E16&lt;&gt;"",Datos!E16,Datos!D16)</f>
        <v>04</v>
      </c>
      <c r="H16" s="227" t="str">
        <f>IF(ISNUMBER(IF(D_I="SI",Datos!L16,Datos!L16+Datos!AF16)),IF(D_I="SI",Datos!L16,Datos!L16+Datos!AF16)," - ")</f>
        <v xml:space="preserve"> - </v>
      </c>
      <c r="I16" s="1044" t="str">
        <f>IF(ISNUMBER(Datos!AS16/Datos!BM16),Datos!AS16/Datos!BM16," - ")</f>
        <v xml:space="preserve"> - </v>
      </c>
      <c r="J16" s="1045">
        <f>IF(ISNUMBER(Datos!BY16/Datos!CN16),Datos!BY16/Datos!CN16," - ")</f>
        <v>0</v>
      </c>
      <c r="K16" s="230" t="str">
        <f t="shared" si="3"/>
        <v xml:space="preserve"> - </v>
      </c>
      <c r="L16" s="1025" t="str">
        <f>IF(ISNUMBER(NºAsuntos!I16/NºAsuntos!G16),(NºAsuntos!I16/NºAsuntos!G16)*11," - ")</f>
        <v xml:space="preserve"> - </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281</v>
      </c>
      <c r="D17" s="225">
        <f>IF(ISNUMBER(IF(D_I="SI",Datos!I17,Datos!I17+Datos!AC17)),IF(D_I="SI",Datos!I17,Datos!I17+Datos!AC17)," - ")</f>
        <v>281</v>
      </c>
      <c r="E17" s="226">
        <f>IF(ISNUMBER(IF(D_I="SI",Datos!J17,Datos!J17+Datos!AD17)),IF(D_I="SI",Datos!J17,Datos!J17+Datos!AD17)," - ")</f>
        <v>293</v>
      </c>
      <c r="F17" s="226">
        <f>IF(ISNUMBER(IF(D_I="SI",Datos!K17,Datos!K17+Datos!AE17)),IF(D_I="SI",Datos!K17,Datos!K17+Datos!AE17)," - ")</f>
        <v>306</v>
      </c>
      <c r="G17" s="1034" t="str">
        <f>IF(Datos!E17&lt;&gt;"",Datos!E17,Datos!D17)</f>
        <v>37</v>
      </c>
      <c r="H17" s="227">
        <f>IF(ISNUMBER(IF(D_I="SI",Datos!L17,Datos!L17+Datos!AF17)),IF(D_I="SI",Datos!L17,Datos!L17+Datos!AF17)," - ")</f>
        <v>268</v>
      </c>
      <c r="I17" s="1044" t="str">
        <f>IF(ISNUMBER(Datos!AS17/Datos!BM17),Datos!AS17/Datos!BM17," - ")</f>
        <v xml:space="preserve"> - </v>
      </c>
      <c r="J17" s="1045" t="str">
        <f>IF(ISNUMBER((Datos!BY17+Datos!BZ17)/Datos!CN17),(Datos!BY17+Datos!BZ17)/Datos!CN17," - ")</f>
        <v xml:space="preserve"> - </v>
      </c>
      <c r="K17" s="230">
        <f t="shared" si="3"/>
        <v>-4.6263345195729534E-2</v>
      </c>
      <c r="L17" s="1025">
        <f>IF(ISNUMBER(NºAsuntos!I17/NºAsuntos!G17),(NºAsuntos!I17/NºAsuntos!G17)*11," - ")</f>
        <v>9.6339869281045747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3332</v>
      </c>
      <c r="D18" s="1049">
        <f>SUBTOTAL(9,D15:D17)</f>
        <v>3281</v>
      </c>
      <c r="E18" s="1050">
        <f>SUBTOTAL(9,E15:E17)</f>
        <v>3247</v>
      </c>
      <c r="F18" s="1050">
        <f>SUBTOTAL(9,F15:F17)</f>
        <v>3467</v>
      </c>
      <c r="G18" s="1052" t="str">
        <f ca="1">INDIRECT(CONCATENATE("G",ROW()-1))</f>
        <v>37</v>
      </c>
      <c r="H18" s="1053">
        <f ca="1">SUMIF(G$14:G17,G18,H$14:H17)</f>
        <v>268</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3440</v>
      </c>
      <c r="D19" s="1071">
        <f>SUBTOTAL(9,D9:D18)</f>
        <v>3389</v>
      </c>
      <c r="E19" s="1072">
        <f>SUBTOTAL(9,E9:E18)</f>
        <v>3299</v>
      </c>
      <c r="F19" s="1072">
        <f>SUBTOTAL(9,F9:F18)</f>
        <v>3511</v>
      </c>
      <c r="G19" s="1073"/>
      <c r="H19" s="1074">
        <f ca="1">SUMIF(B9:B18,"TOTAL",H9:H18)</f>
        <v>268</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Uf8O/lUzN5xhLWD0vmtktSgPj4FH1PAE0s8Cltj0v9/CcuwQRonK9sSwXsnh5H7WsaqHQq3OjxLshteDgkxuvA==" saltValue="yhD4oPb7D6745VqGiTH8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Jcow+46M3ZakH7A54lGLxNYsuH68DKVyqu1Ka9KQ6DTSkE0eTMRvjfycD/7YmnxsFYwJK82QdVMxlDE5WUy/Dg==" saltValue="dP/nsBjo8I0yvG0Tg1jCy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v>5764</v>
      </c>
      <c r="J9" s="181">
        <v>4028</v>
      </c>
      <c r="K9" s="181">
        <v>3103</v>
      </c>
      <c r="L9" s="181">
        <v>6689</v>
      </c>
      <c r="M9" s="181">
        <v>655</v>
      </c>
      <c r="N9" s="181">
        <v>1367</v>
      </c>
      <c r="O9" s="181">
        <v>1409</v>
      </c>
      <c r="P9" s="181">
        <v>1124</v>
      </c>
      <c r="Q9" s="181">
        <v>641</v>
      </c>
      <c r="R9" s="181">
        <v>10249</v>
      </c>
      <c r="S9" s="181">
        <v>6010</v>
      </c>
      <c r="T9" s="181">
        <v>2331</v>
      </c>
      <c r="U9" s="181">
        <v>2748</v>
      </c>
      <c r="V9" s="181">
        <v>5593</v>
      </c>
      <c r="W9" s="181">
        <v>696</v>
      </c>
      <c r="X9" s="188">
        <v>1147</v>
      </c>
      <c r="Y9" s="191">
        <v>0</v>
      </c>
      <c r="Z9" s="181">
        <v>0</v>
      </c>
      <c r="AA9" s="181">
        <v>0</v>
      </c>
      <c r="AB9" s="181">
        <v>0</v>
      </c>
      <c r="AC9" s="181">
        <v>0</v>
      </c>
      <c r="AD9" s="181">
        <v>0</v>
      </c>
      <c r="AE9" s="181">
        <v>0</v>
      </c>
      <c r="AF9" s="188">
        <v>0</v>
      </c>
      <c r="AG9" s="191">
        <v>0</v>
      </c>
      <c r="AH9" s="181">
        <v>0</v>
      </c>
      <c r="AI9" s="181">
        <v>0</v>
      </c>
      <c r="AJ9" s="192">
        <v>0</v>
      </c>
      <c r="AK9" s="180">
        <v>0</v>
      </c>
      <c r="AL9" s="181">
        <v>0</v>
      </c>
      <c r="AM9" s="181">
        <v>0</v>
      </c>
      <c r="AN9" s="188">
        <v>0</v>
      </c>
      <c r="AO9" s="258">
        <v>6</v>
      </c>
      <c r="AP9" s="154">
        <v>6</v>
      </c>
      <c r="AQ9" s="154">
        <v>6</v>
      </c>
      <c r="AR9" s="193">
        <v>6</v>
      </c>
      <c r="AS9" s="338" t="s">
        <v>799</v>
      </c>
      <c r="AT9" s="195"/>
      <c r="AU9" s="194"/>
      <c r="AV9" s="195"/>
      <c r="AW9" s="194"/>
      <c r="AX9" s="195"/>
      <c r="AY9" s="123">
        <f>IF(ISNUMBER(IF(J_V="SI",S9,S9+AG9)),IF(J_V="SI",S9,S9+AG9)," - ")</f>
        <v>6010</v>
      </c>
      <c r="AZ9" s="123">
        <f>IF(ISNUMBER(IF(J_V="SI",T9,T9+AH9)),IF(J_V="SI",T9,T9+AH9)," - ")</f>
        <v>2331</v>
      </c>
      <c r="BA9" s="124">
        <f>IF(ISNUMBER(IF(J_V="SI",U9,U9+AI9)),IF(J_V="SI",U9,U9+AI9)," - ")</f>
        <v>2748</v>
      </c>
      <c r="BB9" s="124">
        <f>IF(ISNUMBER(IF(J_V="SI",V9,V9+AJ9)),IF(J_V="SI",V9,V9+AJ9)," - ")</f>
        <v>5593</v>
      </c>
      <c r="BC9" s="125">
        <f>IF(ISNUMBER(X9),X9," - ")</f>
        <v>1147</v>
      </c>
      <c r="BD9" s="126">
        <f>IF(ISNUMBER(BA9/AZ9),BA9/AZ9," - ")</f>
        <v>1.1788931788931789</v>
      </c>
      <c r="BE9" s="127">
        <f>IF(ISNUMBER(BB9/BA9),BB9/BA9, " - ")</f>
        <v>2.0352983988355167</v>
      </c>
      <c r="BF9" s="127">
        <f>IF(ISNUMBER(BC9/BA9),BC9/BA9, " - ")</f>
        <v>0.41739446870451236</v>
      </c>
      <c r="BG9" s="196">
        <f>IF(ISNUMBER((AY9+AZ9)/BA9),(AY9+AZ9)/BA9," - ")</f>
        <v>3.0352983988355167</v>
      </c>
      <c r="BH9" s="154">
        <v>6</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108</v>
      </c>
      <c r="J10" s="181">
        <v>52</v>
      </c>
      <c r="K10" s="181">
        <v>44</v>
      </c>
      <c r="L10" s="181">
        <v>116</v>
      </c>
      <c r="M10" s="181">
        <v>23</v>
      </c>
      <c r="N10" s="181">
        <v>15</v>
      </c>
      <c r="O10" s="181">
        <v>12</v>
      </c>
      <c r="P10" s="181">
        <v>27</v>
      </c>
      <c r="Q10" s="181">
        <v>21</v>
      </c>
      <c r="R10" s="181">
        <v>109</v>
      </c>
      <c r="S10" s="181">
        <v>127</v>
      </c>
      <c r="T10" s="181">
        <v>34</v>
      </c>
      <c r="U10" s="181">
        <v>48</v>
      </c>
      <c r="V10" s="181">
        <v>113</v>
      </c>
      <c r="W10" s="181">
        <v>15</v>
      </c>
      <c r="X10" s="188">
        <v>16</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793</v>
      </c>
      <c r="AT10" s="192"/>
      <c r="AU10" s="200"/>
      <c r="AV10" s="192"/>
      <c r="AW10" s="200"/>
      <c r="AX10" s="192"/>
      <c r="AY10" s="128">
        <f t="shared" ref="AY10:BC10" si="0">IF(ISNUMBER(S10),S10," - ")</f>
        <v>127</v>
      </c>
      <c r="AZ10" s="129">
        <f t="shared" si="0"/>
        <v>34</v>
      </c>
      <c r="BA10" s="129">
        <f t="shared" si="0"/>
        <v>48</v>
      </c>
      <c r="BB10" s="129">
        <f t="shared" si="0"/>
        <v>113</v>
      </c>
      <c r="BC10" s="125">
        <f t="shared" si="0"/>
        <v>15</v>
      </c>
      <c r="BD10" s="126">
        <f>IF(ISNUMBER(BA10/AZ10),BA10/AZ10," - ")</f>
        <v>1.411764705882353</v>
      </c>
      <c r="BE10" s="127">
        <f>IF(ISNUMBER(BB10/BA10),BB10/BA10, " - ")</f>
        <v>2.3541666666666665</v>
      </c>
      <c r="BF10" s="127">
        <f>IF(ISNUMBER(BC10/BA10),BC10/BA10, " - ")</f>
        <v>0.3125</v>
      </c>
      <c r="BG10" s="196">
        <f>IF(ISNUMBER((AY10+AZ10)/BA10),(AY10+AZ10)/BA10," - ")</f>
        <v>3.3541666666666665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v>1128</v>
      </c>
      <c r="J11" s="183">
        <v>540</v>
      </c>
      <c r="K11" s="183">
        <v>521</v>
      </c>
      <c r="L11" s="183">
        <v>1082</v>
      </c>
      <c r="M11" s="183">
        <v>194</v>
      </c>
      <c r="N11" s="183">
        <v>298</v>
      </c>
      <c r="O11" s="181">
        <v>330</v>
      </c>
      <c r="P11" s="183">
        <v>107</v>
      </c>
      <c r="Q11" s="183">
        <v>74</v>
      </c>
      <c r="R11" s="183">
        <v>817</v>
      </c>
      <c r="S11" s="183">
        <v>1127</v>
      </c>
      <c r="T11" s="183">
        <v>379</v>
      </c>
      <c r="U11" s="183">
        <v>352</v>
      </c>
      <c r="V11" s="183">
        <v>1154</v>
      </c>
      <c r="W11" s="183">
        <v>155</v>
      </c>
      <c r="X11" s="189">
        <v>239</v>
      </c>
      <c r="Y11" s="191">
        <v>175</v>
      </c>
      <c r="Z11" s="181">
        <v>272</v>
      </c>
      <c r="AA11" s="181">
        <v>247</v>
      </c>
      <c r="AB11" s="181">
        <v>202</v>
      </c>
      <c r="AC11" s="183">
        <v>0</v>
      </c>
      <c r="AD11" s="183">
        <v>0</v>
      </c>
      <c r="AE11" s="183">
        <v>0</v>
      </c>
      <c r="AF11" s="189">
        <v>0</v>
      </c>
      <c r="AG11" s="202">
        <v>202</v>
      </c>
      <c r="AH11" s="183">
        <v>304</v>
      </c>
      <c r="AI11" s="183">
        <v>223</v>
      </c>
      <c r="AJ11" s="203">
        <v>283</v>
      </c>
      <c r="AK11" s="182">
        <v>0</v>
      </c>
      <c r="AL11" s="183">
        <v>0</v>
      </c>
      <c r="AM11" s="183">
        <v>0</v>
      </c>
      <c r="AN11" s="189">
        <v>0</v>
      </c>
      <c r="AO11" s="259">
        <v>2</v>
      </c>
      <c r="AP11" s="155">
        <v>2</v>
      </c>
      <c r="AQ11" s="155">
        <v>2</v>
      </c>
      <c r="AR11" s="154">
        <v>2</v>
      </c>
      <c r="AS11" s="340" t="s">
        <v>801</v>
      </c>
      <c r="AT11" s="203"/>
      <c r="AU11" s="202"/>
      <c r="AV11" s="203"/>
      <c r="AW11" s="202"/>
      <c r="AX11" s="203"/>
      <c r="AY11" s="126">
        <f t="shared" ref="AY11:BB12" si="1">IF(ISNUMBER(IF(J_V="SI",S11,S11+AG11)),IF(J_V="SI",S11,S11+AG11)," - ")</f>
        <v>1329</v>
      </c>
      <c r="AZ11" s="127">
        <f t="shared" si="1"/>
        <v>683</v>
      </c>
      <c r="BA11" s="127">
        <f t="shared" si="1"/>
        <v>575</v>
      </c>
      <c r="BB11" s="127">
        <f t="shared" si="1"/>
        <v>1437</v>
      </c>
      <c r="BC11" s="125">
        <f>IF(ISNUMBER(X11),X11," - ")</f>
        <v>239</v>
      </c>
      <c r="BD11" s="126">
        <f t="shared" ref="BD11:BD12" si="2">IF(ISNUMBER(BA11/AZ11),BA11/AZ11," - ")</f>
        <v>0.84187408491947291</v>
      </c>
      <c r="BE11" s="127">
        <f t="shared" ref="BE11:BE12" si="3">IF(ISNUMBER(BB11/BA11),BB11/BA11, " - ")</f>
        <v>2.4991304347826087</v>
      </c>
      <c r="BF11" s="127">
        <f t="shared" ref="BF11:BF12" si="4">IF(ISNUMBER(BC11/BA11),BC11/BA11, " - ")</f>
        <v>0.41565217391304349</v>
      </c>
      <c r="BG11" s="196">
        <f t="shared" ref="BG11:BG12" si="5">IF(ISNUMBER((AY11+AZ11)/BA11),(AY11+AZ11)/BA11," - ")</f>
        <v>3.4991304347826087</v>
      </c>
      <c r="BH11" s="155">
        <v>2</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t="s">
        <v>806</v>
      </c>
      <c r="J12" s="183" t="s">
        <v>800</v>
      </c>
      <c r="K12" s="183" t="s">
        <v>849</v>
      </c>
      <c r="L12" s="183" t="s">
        <v>811</v>
      </c>
      <c r="M12" s="183" t="s">
        <v>490</v>
      </c>
      <c r="N12" s="183" t="s">
        <v>505</v>
      </c>
      <c r="O12" s="181" t="s">
        <v>224</v>
      </c>
      <c r="P12" s="183" t="s">
        <v>39</v>
      </c>
      <c r="Q12" s="183" t="s">
        <v>40</v>
      </c>
      <c r="R12" s="183" t="s">
        <v>91</v>
      </c>
      <c r="S12" s="183"/>
      <c r="T12" s="183"/>
      <c r="U12" s="183"/>
      <c r="V12" s="183"/>
      <c r="W12" s="183"/>
      <c r="X12" s="189"/>
      <c r="Y12" s="191" t="s">
        <v>134</v>
      </c>
      <c r="Z12" s="181" t="s">
        <v>135</v>
      </c>
      <c r="AA12" s="181" t="s">
        <v>136</v>
      </c>
      <c r="AB12" s="181" t="s">
        <v>137</v>
      </c>
      <c r="AC12" s="183"/>
      <c r="AD12" s="183"/>
      <c r="AE12" s="183"/>
      <c r="AF12" s="189"/>
      <c r="AG12" s="202"/>
      <c r="AH12" s="183"/>
      <c r="AI12" s="183"/>
      <c r="AJ12" s="203"/>
      <c r="AK12" s="182"/>
      <c r="AL12" s="183"/>
      <c r="AM12" s="183"/>
      <c r="AN12" s="189"/>
      <c r="AO12" s="259">
        <v>0</v>
      </c>
      <c r="AP12" s="155">
        <v>0</v>
      </c>
      <c r="AQ12" s="155">
        <v>0</v>
      </c>
      <c r="AR12" s="154">
        <v>0</v>
      </c>
      <c r="AS12" s="340" t="s">
        <v>802</v>
      </c>
      <c r="AT12" s="203"/>
      <c r="AU12" s="202"/>
      <c r="AV12" s="203"/>
      <c r="AW12" s="202"/>
      <c r="AX12" s="203"/>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6" t="str">
        <f t="shared" si="5"/>
        <v xml:space="preserve"> - </v>
      </c>
      <c r="BH12" s="155">
        <v>0</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7000</v>
      </c>
      <c r="J13" s="184">
        <f t="shared" si="6"/>
        <v>4620</v>
      </c>
      <c r="K13" s="184">
        <f t="shared" si="6"/>
        <v>3668</v>
      </c>
      <c r="L13" s="184">
        <f t="shared" si="6"/>
        <v>7887</v>
      </c>
      <c r="M13" s="184">
        <f t="shared" si="6"/>
        <v>872</v>
      </c>
      <c r="N13" s="184">
        <f t="shared" si="6"/>
        <v>1680</v>
      </c>
      <c r="O13" s="184">
        <f t="shared" si="6"/>
        <v>1751</v>
      </c>
      <c r="P13" s="184">
        <f t="shared" si="6"/>
        <v>1258</v>
      </c>
      <c r="Q13" s="184">
        <f t="shared" si="6"/>
        <v>736</v>
      </c>
      <c r="R13" s="184">
        <f t="shared" si="6"/>
        <v>11175</v>
      </c>
      <c r="S13" s="184">
        <f t="shared" si="6"/>
        <v>7264</v>
      </c>
      <c r="T13" s="184">
        <f t="shared" si="6"/>
        <v>2744</v>
      </c>
      <c r="U13" s="184">
        <f t="shared" si="6"/>
        <v>3148</v>
      </c>
      <c r="V13" s="184">
        <f t="shared" si="6"/>
        <v>6860</v>
      </c>
      <c r="W13" s="184">
        <f t="shared" si="6"/>
        <v>866</v>
      </c>
      <c r="X13" s="184">
        <f t="shared" si="6"/>
        <v>1402</v>
      </c>
      <c r="Y13" s="184">
        <f t="shared" si="6"/>
        <v>175</v>
      </c>
      <c r="Z13" s="184">
        <f t="shared" si="6"/>
        <v>272</v>
      </c>
      <c r="AA13" s="184">
        <f t="shared" si="6"/>
        <v>247</v>
      </c>
      <c r="AB13" s="184">
        <f t="shared" si="6"/>
        <v>202</v>
      </c>
      <c r="AC13" s="184">
        <f t="shared" si="6"/>
        <v>0</v>
      </c>
      <c r="AD13" s="184">
        <f t="shared" si="6"/>
        <v>0</v>
      </c>
      <c r="AE13" s="184">
        <f t="shared" si="6"/>
        <v>0</v>
      </c>
      <c r="AF13" s="184">
        <f>SUBTOTAL(9,AF9:AF12)</f>
        <v>0</v>
      </c>
      <c r="AG13" s="184">
        <f t="shared" ref="AG13:AT13" si="7">SUBTOTAL(9,AG8:AG12)</f>
        <v>202</v>
      </c>
      <c r="AH13" s="184">
        <f t="shared" si="7"/>
        <v>304</v>
      </c>
      <c r="AI13" s="184">
        <f t="shared" si="7"/>
        <v>223</v>
      </c>
      <c r="AJ13" s="184">
        <f t="shared" si="7"/>
        <v>283</v>
      </c>
      <c r="AK13" s="184">
        <f t="shared" si="7"/>
        <v>0</v>
      </c>
      <c r="AL13" s="184">
        <f t="shared" si="7"/>
        <v>0</v>
      </c>
      <c r="AM13" s="184">
        <f t="shared" si="7"/>
        <v>0</v>
      </c>
      <c r="AN13" s="184">
        <f t="shared" si="7"/>
        <v>0</v>
      </c>
      <c r="AO13" s="184">
        <f t="shared" si="7"/>
        <v>9</v>
      </c>
      <c r="AP13" s="184">
        <f t="shared" si="7"/>
        <v>9</v>
      </c>
      <c r="AQ13" s="184">
        <f t="shared" si="7"/>
        <v>9</v>
      </c>
      <c r="AR13" s="184">
        <f t="shared" si="7"/>
        <v>9</v>
      </c>
      <c r="AS13" s="184">
        <f t="shared" si="7"/>
        <v>0</v>
      </c>
      <c r="AT13" s="184">
        <f t="shared" si="7"/>
        <v>0</v>
      </c>
      <c r="AU13" s="204"/>
      <c r="AV13" s="132"/>
      <c r="AW13" s="204"/>
      <c r="AX13" s="132"/>
      <c r="AY13" s="184">
        <f>SUBTOTAL(9,AY8:AY12)</f>
        <v>7466</v>
      </c>
      <c r="AZ13" s="184">
        <f>SUBTOTAL(9,AZ8:AZ12)</f>
        <v>3048</v>
      </c>
      <c r="BA13" s="184">
        <f>SUBTOTAL(9,BA8:BA12)</f>
        <v>3371</v>
      </c>
      <c r="BB13" s="184">
        <f>SUBTOTAL(9,BB8:BB12)</f>
        <v>7143</v>
      </c>
      <c r="BC13" s="184">
        <f>SUBTOTAL(9,BC8:BC12)</f>
        <v>1401</v>
      </c>
      <c r="BD13" s="205">
        <f>IF(ISNUMBER(BA13/AZ13),BA13/AZ13," - ")</f>
        <v>1.105971128608924</v>
      </c>
      <c r="BE13" s="206">
        <f>IF(ISNUMBER(BB13/BA13),BB13/BA13, " - ")</f>
        <v>2.118955799466034</v>
      </c>
      <c r="BF13" s="206">
        <f>IF(ISNUMBER(BC13/BA13),BC13/BA13, " - ")</f>
        <v>0.41560367843369922</v>
      </c>
      <c r="BG13" s="207">
        <f>IF(ISNUMBER((AY13+AZ13)/BA13),(AY13+AZ13)/BA13," - ")</f>
        <v>3.118955799466034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v>3000</v>
      </c>
      <c r="J15" s="183">
        <v>2954</v>
      </c>
      <c r="K15" s="183">
        <v>3161</v>
      </c>
      <c r="L15" s="183">
        <v>2844</v>
      </c>
      <c r="M15" s="183">
        <v>433</v>
      </c>
      <c r="N15" s="183">
        <v>2070</v>
      </c>
      <c r="O15" s="181">
        <v>145</v>
      </c>
      <c r="P15" s="183">
        <v>214</v>
      </c>
      <c r="Q15" s="183">
        <v>165</v>
      </c>
      <c r="R15" s="183">
        <v>444</v>
      </c>
      <c r="S15" s="183">
        <v>2568</v>
      </c>
      <c r="T15" s="183">
        <v>3103</v>
      </c>
      <c r="U15" s="183">
        <v>2967</v>
      </c>
      <c r="V15" s="183">
        <v>2753</v>
      </c>
      <c r="W15" s="183">
        <v>420</v>
      </c>
      <c r="X15" s="189">
        <v>1836</v>
      </c>
      <c r="Y15" s="202">
        <v>0</v>
      </c>
      <c r="Z15" s="183">
        <v>0</v>
      </c>
      <c r="AA15" s="183">
        <v>0</v>
      </c>
      <c r="AB15" s="183">
        <v>0</v>
      </c>
      <c r="AC15" s="183">
        <v>0</v>
      </c>
      <c r="AD15" s="183">
        <v>7</v>
      </c>
      <c r="AE15" s="183">
        <v>7</v>
      </c>
      <c r="AF15" s="189">
        <v>0</v>
      </c>
      <c r="AG15" s="202">
        <v>0</v>
      </c>
      <c r="AH15" s="183">
        <v>0</v>
      </c>
      <c r="AI15" s="183">
        <v>0</v>
      </c>
      <c r="AJ15" s="203">
        <v>0</v>
      </c>
      <c r="AK15" s="182">
        <v>1</v>
      </c>
      <c r="AL15" s="183">
        <v>10</v>
      </c>
      <c r="AM15" s="183">
        <v>10</v>
      </c>
      <c r="AN15" s="189">
        <v>1</v>
      </c>
      <c r="AO15" s="259">
        <v>5</v>
      </c>
      <c r="AP15" s="155">
        <v>5</v>
      </c>
      <c r="AQ15" s="155">
        <v>5</v>
      </c>
      <c r="AR15" s="155">
        <v>5</v>
      </c>
      <c r="AS15" s="340" t="s">
        <v>527</v>
      </c>
      <c r="AT15" s="203" t="s">
        <v>326</v>
      </c>
      <c r="AU15" s="202"/>
      <c r="AV15" s="203"/>
      <c r="AW15" s="202"/>
      <c r="AX15" s="203"/>
      <c r="AY15" s="128">
        <f t="shared" ref="AY15:BB16" si="9">IF(ISNUMBER(IF(D_I="SI",S15,S15+AK15)),IF(D_I="SI",S15,S15+AK15)," - ")</f>
        <v>2568</v>
      </c>
      <c r="AZ15" s="129">
        <f t="shared" si="9"/>
        <v>3103</v>
      </c>
      <c r="BA15" s="129">
        <f t="shared" si="9"/>
        <v>2967</v>
      </c>
      <c r="BB15" s="129">
        <f t="shared" si="9"/>
        <v>2753</v>
      </c>
      <c r="BC15" s="125">
        <f>IF(ISNUMBER(W15),W15," - ")</f>
        <v>420</v>
      </c>
      <c r="BD15" s="126">
        <f>IF(ISNUMBER(BA15/AZ15),BA15/AZ15," - ")</f>
        <v>0.95617144698678702</v>
      </c>
      <c r="BE15" s="127">
        <f>IF(ISNUMBER(BB15/BA15),BB15/BA15, " - ")</f>
        <v>0.92787327266599262</v>
      </c>
      <c r="BF15" s="127">
        <f>IF(ISNUMBER(BC15/BA15),BC15/BA15, " - ")</f>
        <v>0.14155712841253792</v>
      </c>
      <c r="BG15" s="196">
        <f t="shared" ref="BG15:BG16" si="10">IF(ISNUMBER((AY15+AZ15)/BA15),(AY15+AZ15)/BA15," - ")</f>
        <v>1.9113582743511965</v>
      </c>
      <c r="BH15" s="155">
        <v>5</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t="s">
        <v>488</v>
      </c>
      <c r="J16" s="183" t="s">
        <v>484</v>
      </c>
      <c r="K16" s="183" t="s">
        <v>485</v>
      </c>
      <c r="L16" s="183" t="s">
        <v>486</v>
      </c>
      <c r="M16" s="183" t="s">
        <v>491</v>
      </c>
      <c r="N16" s="183" t="s">
        <v>150</v>
      </c>
      <c r="O16" s="181" t="s">
        <v>225</v>
      </c>
      <c r="P16" s="183" t="s">
        <v>470</v>
      </c>
      <c r="Q16" s="183" t="s">
        <v>471</v>
      </c>
      <c r="R16" s="183" t="s">
        <v>472</v>
      </c>
      <c r="S16" s="183"/>
      <c r="T16" s="183"/>
      <c r="U16" s="183"/>
      <c r="V16" s="183"/>
      <c r="W16" s="183"/>
      <c r="X16" s="189"/>
      <c r="Y16" s="202"/>
      <c r="Z16" s="183"/>
      <c r="AA16" s="183"/>
      <c r="AB16" s="183"/>
      <c r="AC16" s="183" t="s">
        <v>44</v>
      </c>
      <c r="AD16" s="183" t="s">
        <v>48</v>
      </c>
      <c r="AE16" s="183" t="s">
        <v>49</v>
      </c>
      <c r="AF16" s="189" t="s">
        <v>50</v>
      </c>
      <c r="AG16" s="202"/>
      <c r="AH16" s="183"/>
      <c r="AI16" s="183"/>
      <c r="AJ16" s="203"/>
      <c r="AK16" s="182"/>
      <c r="AL16" s="183"/>
      <c r="AM16" s="183"/>
      <c r="AN16" s="189"/>
      <c r="AO16" s="259">
        <v>0</v>
      </c>
      <c r="AP16" s="155">
        <v>0</v>
      </c>
      <c r="AQ16" s="155">
        <v>0</v>
      </c>
      <c r="AR16" s="155">
        <v>0</v>
      </c>
      <c r="AS16" s="340" t="s">
        <v>487</v>
      </c>
      <c r="AT16" s="203"/>
      <c r="AU16" s="202"/>
      <c r="AV16" s="203"/>
      <c r="AW16" s="202"/>
      <c r="AX16" s="203"/>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6" t="str">
        <f t="shared" si="10"/>
        <v xml:space="preserve"> - </v>
      </c>
      <c r="BH16" s="155">
        <v>0</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281</v>
      </c>
      <c r="J17" s="183">
        <v>293</v>
      </c>
      <c r="K17" s="183">
        <v>306</v>
      </c>
      <c r="L17" s="183">
        <v>268</v>
      </c>
      <c r="M17" s="183">
        <v>49</v>
      </c>
      <c r="N17" s="183">
        <v>202</v>
      </c>
      <c r="O17" s="183">
        <v>2</v>
      </c>
      <c r="P17" s="183">
        <v>0</v>
      </c>
      <c r="Q17" s="183">
        <v>2</v>
      </c>
      <c r="R17" s="183">
        <v>10</v>
      </c>
      <c r="S17" s="183">
        <v>258</v>
      </c>
      <c r="T17" s="183">
        <v>286</v>
      </c>
      <c r="U17" s="183">
        <v>289</v>
      </c>
      <c r="V17" s="183">
        <v>255</v>
      </c>
      <c r="W17" s="183">
        <v>56</v>
      </c>
      <c r="X17" s="189">
        <v>203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792</v>
      </c>
      <c r="AT17" s="209"/>
      <c r="AU17" s="200"/>
      <c r="AV17" s="209"/>
      <c r="AW17" s="200"/>
      <c r="AX17" s="209"/>
      <c r="AY17" s="128">
        <f t="shared" ref="AY17:BB17" si="14">IF(ISNUMBER(S17),S17," - ")</f>
        <v>258</v>
      </c>
      <c r="AZ17" s="129">
        <f t="shared" si="14"/>
        <v>286</v>
      </c>
      <c r="BA17" s="129">
        <f t="shared" si="14"/>
        <v>289</v>
      </c>
      <c r="BB17" s="129">
        <f t="shared" si="14"/>
        <v>255</v>
      </c>
      <c r="BC17" s="125">
        <f>IF(ISNUMBER(W17),W17," - ")</f>
        <v>56</v>
      </c>
      <c r="BD17" s="126">
        <f>IF(ISNUMBER(BA17/AZ17),BA17/AZ17," - ")</f>
        <v>1.0104895104895104</v>
      </c>
      <c r="BE17" s="127">
        <f>IF(ISNUMBER(BB17/BA17),BB17/BA17, " - ")</f>
        <v>0.88235294117647056</v>
      </c>
      <c r="BF17" s="127">
        <f>IF(ISNUMBER(BC17/BA17),BC17/BA17, " - ")</f>
        <v>0.19377162629757785</v>
      </c>
      <c r="BG17" s="196">
        <f>IF(ISNUMBER((AY17+AZ17)/BA17),(AY17+AZ17)/BA17," - ")</f>
        <v>1.8823529411764706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3281</v>
      </c>
      <c r="J18" s="184">
        <f t="shared" si="15"/>
        <v>3247</v>
      </c>
      <c r="K18" s="184">
        <f t="shared" si="15"/>
        <v>3467</v>
      </c>
      <c r="L18" s="184">
        <f t="shared" si="15"/>
        <v>3112</v>
      </c>
      <c r="M18" s="184">
        <f t="shared" si="15"/>
        <v>482</v>
      </c>
      <c r="N18" s="184">
        <f t="shared" si="15"/>
        <v>2272</v>
      </c>
      <c r="O18" s="184">
        <f t="shared" si="15"/>
        <v>147</v>
      </c>
      <c r="P18" s="184">
        <f t="shared" si="15"/>
        <v>214</v>
      </c>
      <c r="Q18" s="184">
        <f t="shared" si="15"/>
        <v>167</v>
      </c>
      <c r="R18" s="184">
        <f t="shared" si="15"/>
        <v>454</v>
      </c>
      <c r="S18" s="184">
        <f t="shared" si="15"/>
        <v>2826</v>
      </c>
      <c r="T18" s="184">
        <f t="shared" si="15"/>
        <v>3389</v>
      </c>
      <c r="U18" s="184">
        <f t="shared" si="15"/>
        <v>3256</v>
      </c>
      <c r="V18" s="184">
        <f t="shared" si="15"/>
        <v>3008</v>
      </c>
      <c r="W18" s="184">
        <f t="shared" si="15"/>
        <v>476</v>
      </c>
      <c r="X18" s="184">
        <f t="shared" si="15"/>
        <v>2039</v>
      </c>
      <c r="Y18" s="184">
        <f t="shared" si="15"/>
        <v>0</v>
      </c>
      <c r="Z18" s="184">
        <f t="shared" si="15"/>
        <v>0</v>
      </c>
      <c r="AA18" s="184">
        <f t="shared" si="15"/>
        <v>0</v>
      </c>
      <c r="AB18" s="184">
        <f t="shared" si="15"/>
        <v>0</v>
      </c>
      <c r="AC18" s="184">
        <f t="shared" si="15"/>
        <v>0</v>
      </c>
      <c r="AD18" s="184">
        <f t="shared" si="15"/>
        <v>7</v>
      </c>
      <c r="AE18" s="184">
        <f t="shared" si="15"/>
        <v>7</v>
      </c>
      <c r="AF18" s="184">
        <f t="shared" si="15"/>
        <v>0</v>
      </c>
      <c r="AG18" s="184">
        <f t="shared" si="15"/>
        <v>0</v>
      </c>
      <c r="AH18" s="184">
        <f t="shared" si="15"/>
        <v>0</v>
      </c>
      <c r="AI18" s="184">
        <f t="shared" si="15"/>
        <v>0</v>
      </c>
      <c r="AJ18" s="184">
        <f t="shared" si="15"/>
        <v>0</v>
      </c>
      <c r="AK18" s="184">
        <f t="shared" si="15"/>
        <v>1</v>
      </c>
      <c r="AL18" s="184">
        <f t="shared" si="15"/>
        <v>10</v>
      </c>
      <c r="AM18" s="184">
        <f t="shared" si="15"/>
        <v>10</v>
      </c>
      <c r="AN18" s="184">
        <f t="shared" si="15"/>
        <v>1</v>
      </c>
      <c r="AO18" s="184">
        <f t="shared" si="15"/>
        <v>6</v>
      </c>
      <c r="AP18" s="184">
        <f t="shared" si="15"/>
        <v>6</v>
      </c>
      <c r="AQ18" s="184">
        <f t="shared" si="15"/>
        <v>6</v>
      </c>
      <c r="AR18" s="184">
        <f t="shared" si="15"/>
        <v>6</v>
      </c>
      <c r="AS18" s="184">
        <f t="shared" si="15"/>
        <v>0</v>
      </c>
      <c r="AT18" s="184">
        <f t="shared" si="15"/>
        <v>0</v>
      </c>
      <c r="AU18" s="204"/>
      <c r="AV18" s="132"/>
      <c r="AW18" s="204"/>
      <c r="AX18" s="132"/>
      <c r="AY18" s="184">
        <f>SUBTOTAL(9,AY14:AY17)</f>
        <v>2826</v>
      </c>
      <c r="AZ18" s="184">
        <f>SUBTOTAL(9,AZ14:AZ17)</f>
        <v>3389</v>
      </c>
      <c r="BA18" s="184">
        <f>SUBTOTAL(9,BA14:BA17)</f>
        <v>3256</v>
      </c>
      <c r="BB18" s="184">
        <f>SUBTOTAL(9,BB14:BB17)</f>
        <v>3008</v>
      </c>
      <c r="BC18" s="184">
        <f>SUBTOTAL(9,BC14:BC17)</f>
        <v>476</v>
      </c>
      <c r="BD18" s="205">
        <f>IF(ISNUMBER(BA18/AZ18),BA18/AZ18," - ")</f>
        <v>0.96075538506934199</v>
      </c>
      <c r="BE18" s="206">
        <f>IF(ISNUMBER(BB18/BA18),BB18/BA18, " - ")</f>
        <v>0.92383292383292381</v>
      </c>
      <c r="BF18" s="206">
        <f>IF(ISNUMBER(BC18/BA18),BC18/BA18, " - ")</f>
        <v>0.14619164619164618</v>
      </c>
      <c r="BG18" s="207">
        <f>IF(ISNUMBER((AY18+AZ18)/BA18),(AY18+AZ18)/BA18," - ")</f>
        <v>1.9087837837837838</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10281</v>
      </c>
      <c r="J19" s="134">
        <f t="shared" si="18"/>
        <v>7867</v>
      </c>
      <c r="K19" s="134">
        <f t="shared" si="18"/>
        <v>7135</v>
      </c>
      <c r="L19" s="134">
        <f t="shared" si="18"/>
        <v>10999</v>
      </c>
      <c r="M19" s="134">
        <f t="shared" si="18"/>
        <v>1354</v>
      </c>
      <c r="N19" s="134">
        <f t="shared" si="18"/>
        <v>3952</v>
      </c>
      <c r="O19" s="134">
        <f t="shared" si="18"/>
        <v>1898</v>
      </c>
      <c r="P19" s="134">
        <f t="shared" si="18"/>
        <v>1472</v>
      </c>
      <c r="Q19" s="134">
        <f t="shared" si="18"/>
        <v>903</v>
      </c>
      <c r="R19" s="134">
        <f t="shared" si="18"/>
        <v>11629</v>
      </c>
      <c r="S19" s="134">
        <f t="shared" si="18"/>
        <v>10090</v>
      </c>
      <c r="T19" s="134">
        <f t="shared" si="18"/>
        <v>6133</v>
      </c>
      <c r="U19" s="134">
        <f t="shared" si="18"/>
        <v>6404</v>
      </c>
      <c r="V19" s="134">
        <f t="shared" si="18"/>
        <v>9868</v>
      </c>
      <c r="W19" s="134">
        <f t="shared" si="18"/>
        <v>1342</v>
      </c>
      <c r="X19" s="134">
        <f t="shared" si="18"/>
        <v>3441</v>
      </c>
      <c r="Y19" s="134">
        <f t="shared" si="18"/>
        <v>175</v>
      </c>
      <c r="Z19" s="134">
        <f t="shared" si="18"/>
        <v>272</v>
      </c>
      <c r="AA19" s="134">
        <f t="shared" si="18"/>
        <v>247</v>
      </c>
      <c r="AB19" s="134">
        <f t="shared" si="18"/>
        <v>202</v>
      </c>
      <c r="AC19" s="134">
        <f t="shared" si="18"/>
        <v>0</v>
      </c>
      <c r="AD19" s="134">
        <f t="shared" si="18"/>
        <v>7</v>
      </c>
      <c r="AE19" s="134">
        <f t="shared" si="18"/>
        <v>7</v>
      </c>
      <c r="AF19" s="134">
        <f t="shared" si="18"/>
        <v>0</v>
      </c>
      <c r="AG19" s="134">
        <f t="shared" si="18"/>
        <v>202</v>
      </c>
      <c r="AH19" s="134">
        <f t="shared" si="18"/>
        <v>304</v>
      </c>
      <c r="AI19" s="134">
        <f t="shared" si="18"/>
        <v>223</v>
      </c>
      <c r="AJ19" s="134">
        <f t="shared" si="18"/>
        <v>283</v>
      </c>
      <c r="AK19" s="134">
        <f t="shared" si="18"/>
        <v>1</v>
      </c>
      <c r="AL19" s="134">
        <f t="shared" si="18"/>
        <v>10</v>
      </c>
      <c r="AM19" s="134">
        <f t="shared" si="18"/>
        <v>10</v>
      </c>
      <c r="AN19" s="210">
        <f t="shared" si="18"/>
        <v>1</v>
      </c>
      <c r="AO19" s="211">
        <v>14</v>
      </c>
      <c r="AP19" s="211">
        <v>14</v>
      </c>
      <c r="AQ19" s="211">
        <v>14</v>
      </c>
      <c r="AR19" s="211">
        <v>14</v>
      </c>
      <c r="AS19" s="153">
        <f t="shared" si="18"/>
        <v>0</v>
      </c>
      <c r="AT19" s="153">
        <f t="shared" si="18"/>
        <v>0</v>
      </c>
      <c r="AU19" s="211"/>
      <c r="AV19" s="212"/>
      <c r="AW19" s="211"/>
      <c r="AX19" s="212"/>
      <c r="AY19" s="133">
        <f>SUBTOTAL(9,AY9:AY18)</f>
        <v>10292</v>
      </c>
      <c r="AZ19" s="134">
        <f>SUBTOTAL(9,AZ9:AZ18)</f>
        <v>6437</v>
      </c>
      <c r="BA19" s="134">
        <f>SUBTOTAL(9,BA9:BA18)</f>
        <v>6627</v>
      </c>
      <c r="BB19" s="134">
        <f>SUBTOTAL(9,BB9:BB18)</f>
        <v>10151</v>
      </c>
      <c r="BC19" s="135">
        <f>SUBTOTAL(9,BC9:BC18)</f>
        <v>1877</v>
      </c>
      <c r="BD19" s="213">
        <f>IF(ISNUMBER(BA19/AZ19),BA19/AZ19," - ")</f>
        <v>1.0295168556781109</v>
      </c>
      <c r="BE19" s="210">
        <f>IF(ISNUMBER(BB19/BA19),BB19/BA19, " - ")</f>
        <v>1.5317639957748603</v>
      </c>
      <c r="BF19" s="210">
        <f>IF(ISNUMBER(BC19/BA19),BC19/BA19, " - ")</f>
        <v>0.28323524973592878</v>
      </c>
      <c r="BG19" s="135">
        <f>IF(ISNUMBER((AY19+AZ19)/BA19),(AY19+AZ19)/BA19," - ")</f>
        <v>2.5243700015089785</v>
      </c>
      <c r="BH19" s="211">
        <f>SUBTOTAL(9,BH9:BH18)</f>
        <v>15</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ortdajc+G/DAl8yCJfKN6JRnzaSabRXDe3YA9yh4QNwDMMmwZB03kLxD6NbncFgtI2JeaCS+/9qDh/xNGI+A==" saltValue="UEeoGlkyE8Mw4ahlug9cu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2lqjWJ9uBjJlNqNeJDmAoKnuECMcza5cNodj8TcCOsElZgBF97rNlybRKgV2mZ9iDfmjuuDZDvfIbWw3RFOlA==" saltValue="lSSmUKzWze4i4wZW2XGnp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ANDALUCIA</v>
      </c>
    </row>
    <row r="2" spans="1:74" ht="16.5" customHeight="1">
      <c r="C2" s="488" t="str">
        <f>Criterios!A10 &amp;"  "&amp;Criterios!B10 &amp; "  " &amp; IF(NOT(ISBLANK(Criterios!A11)),Criterios!A11 &amp;"  "&amp;Criterios!B11,"")</f>
        <v>Provincias  HUELVA  Resumenes por Partidos Judiciales  HUELVA</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6</v>
      </c>
      <c r="B9" s="501" t="s">
        <v>246</v>
      </c>
      <c r="C9" s="160" t="str">
        <f>Datos!A9</f>
        <v xml:space="preserve">Jdos. 1ª Instancia   </v>
      </c>
      <c r="D9" s="502"/>
      <c r="E9" s="260">
        <f>IF(ISNUMBER(Datos!AQ9),Datos!AQ9," - ")</f>
        <v>6</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f>IF(ISNUMBER(Datos!Z9),Datos!Z9," - ")</f>
        <v>0</v>
      </c>
      <c r="O9" s="334"/>
      <c r="P9" s="334"/>
      <c r="Q9" s="226">
        <f>IF(ISNUMBER(Datos!P9),Datos!P9,0)</f>
        <v>1124</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f>IF(ISNUMBER(Datos!Q9),Datos!Q9," - ")</f>
        <v>641</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f>IF(ISNUMBER(Datos!AB9),Datos!AB9,"-")</f>
        <v>0</v>
      </c>
      <c r="AI9" s="334" t="str">
        <f>IF(ISNUMBER(Datos!CD9),Datos!CD9,"-")</f>
        <v>-</v>
      </c>
      <c r="AJ9" s="334" t="str">
        <f>IF(ISNUMBER(Datos!EN9),Datos!EN9," - ")</f>
        <v xml:space="preserve"> - </v>
      </c>
      <c r="AK9" s="334"/>
      <c r="AL9" s="479"/>
      <c r="AM9" s="335">
        <f>IF(ISNUMBER(Datos!R9),Datos!R9," - ")</f>
        <v>10249</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f>IF(ISNUMBER(Datos!M9),Datos!M9," - ")</f>
        <v>655</v>
      </c>
      <c r="BD9" s="229">
        <f>IF(ISNUMBER(Datos!N9),Datos!N9," - ")</f>
        <v>1367</v>
      </c>
      <c r="BE9" s="229" t="str">
        <f>IF(ISNUMBER(Datos!BW9),Datos!BW9," - ")</f>
        <v xml:space="preserve"> - </v>
      </c>
      <c r="BF9" s="228" t="str">
        <f>IF(ISNUMBER(Datos!BX9),Datos!BX9," - ")</f>
        <v xml:space="preserve"> - </v>
      </c>
      <c r="BG9" s="243">
        <f>IF(ISNUMBER(IF(J_V="SI",Datos!K9/Datos!J9,(Datos!K9+Datos!AA9)/(Datos!J9+Datos!Z9))),IF(J_V="SI",Datos!K9/Datos!J9,(Datos!K9+Datos!AA9)/(Datos!J9+Datos!Z9))," - ")</f>
        <v>0.77035749751737836</v>
      </c>
      <c r="BH9" s="260">
        <f>IF(ISNUMBER(((IF(J_V="SI",Datos!L9/Datos!K9,(Datos!L9+Datos!AB9)/(Datos!K9+Datos!AA9)))*11)/factor_trimestre),((IF(J_V="SI",Datos!L9/Datos!K9,(Datos!L9+Datos!AB9)/(Datos!K9+Datos!AA9)))*11)/factor_trimestre," - ")</f>
        <v>6.4669674508540131</v>
      </c>
      <c r="BI9" s="243"/>
      <c r="BJ9" s="230" t="str">
        <f>IF(ISNUMBER(Datos!CI9/Datos!CJ9),Datos!CI9/Datos!CJ9," - ")</f>
        <v xml:space="preserve"> - </v>
      </c>
      <c r="BK9" s="360" t="str">
        <f>IF(ISNUMBER(Datos!CJ9),Datos!CJ9," - ")</f>
        <v xml:space="preserve"> - </v>
      </c>
      <c r="BL9" s="230" t="str">
        <f>IF(ISNUMBER((J9-AB9+L9)/(F9)),(J9-AB9+L9)/(F9)," - ")</f>
        <v xml:space="preserve"> - </v>
      </c>
      <c r="BM9" s="611">
        <f>IF(ISNUMBER((Datos!P9-Datos!Q9+Datos!DE9)/(Datos!R9-Datos!P9+Datos!Q9-Datos!DE9)),(Datos!P9-Datos!Q9+Datos!DE9)/(Datos!R9-Datos!P9+Datos!Q9-Datos!DE9)," - ")</f>
        <v>4.9457300839647757E-2</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1</v>
      </c>
      <c r="F10" s="225">
        <f>IF(ISNUMBER(Datos!L10+Datos!K10-Datos!J10),Datos!L10+Datos!K10-Datos!J10," - ")</f>
        <v>108</v>
      </c>
      <c r="G10" s="333">
        <f>IF(ISNUMBER(Datos!I10),Datos!I10," - ")</f>
        <v>108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27</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44</v>
      </c>
      <c r="AC10" s="226">
        <f>IF(ISNUMBER(Datos!Q10),Datos!Q10," - ")</f>
        <v>21</v>
      </c>
      <c r="AD10" s="334"/>
      <c r="AE10" s="484"/>
      <c r="AF10" s="332">
        <f>IF(ISNUMBER(Datos!L10),Datos!L10,"-")</f>
        <v>116</v>
      </c>
      <c r="AG10" s="334"/>
      <c r="AH10" s="334"/>
      <c r="AI10" s="334"/>
      <c r="AJ10" s="334"/>
      <c r="AK10" s="334"/>
      <c r="AL10" s="479"/>
      <c r="AM10" s="335">
        <f>IF(ISNUMBER(Datos!R10),Datos!R10," - ")</f>
        <v>109</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23</v>
      </c>
      <c r="BD10" s="229">
        <f>IF(ISNUMBER(Datos!N10),Datos!N10," - ")</f>
        <v>15</v>
      </c>
      <c r="BE10" s="229" t="str">
        <f>IF(ISNUMBER(Datos!BW10),Datos!BW10," - ")</f>
        <v xml:space="preserve"> - </v>
      </c>
      <c r="BF10" s="228" t="str">
        <f>IF(ISNUMBER(Datos!BX10),Datos!BX10," - ")</f>
        <v xml:space="preserve"> - </v>
      </c>
      <c r="BG10" s="243">
        <f>IF(ISNUMBER(Datos!K10/Datos!J10),Datos!K10/Datos!J10," - ")</f>
        <v>0.84615384615384615</v>
      </c>
      <c r="BH10" s="260">
        <f>IF(ISNUMBER(((Datos!L10/Datos!K10)*11)/factor_trimestre),((Datos!L10/Datos!K10)*11)/factor_trimestre," - ")</f>
        <v>7.9090909090909092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5.8252427184466021E-2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2</v>
      </c>
      <c r="B11" s="507" t="s">
        <v>246</v>
      </c>
      <c r="C11" s="7" t="str">
        <f>Datos!A11</f>
        <v xml:space="preserve">Jdos. Familia                                   </v>
      </c>
      <c r="D11" s="508"/>
      <c r="E11" s="260">
        <f>IF(ISNUMBER(Datos!AQ11),Datos!AQ11," - ")</f>
        <v>2</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f>IF(ISNUMBER(Datos!Z11),Datos!Z11," - ")</f>
        <v>272</v>
      </c>
      <c r="O11" s="334"/>
      <c r="P11" s="334"/>
      <c r="Q11" s="226">
        <f>IF(ISNUMBER(Datos!P11),Datos!P11,0)</f>
        <v>107</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f>IF(ISNUMBER(Datos!Q11),Datos!Q11," - ")</f>
        <v>74</v>
      </c>
      <c r="AD11" s="334"/>
      <c r="AE11" s="484"/>
      <c r="AF11" s="332" t="str">
        <f>IF(ISNUMBER(IF(J_V="SI",Datos!L11,Datos!L11+Datos!AB11)-IF(Monitorios="SI",Datos!CD11,0)),
                          IF(J_V="SI",Datos!L11,Datos!L11+Datos!AB11)-IF(Monitorios="SI",Datos!CD11,0),
                          " - ")</f>
        <v xml:space="preserve"> - </v>
      </c>
      <c r="AG11" s="334"/>
      <c r="AH11" s="334">
        <f>IF(ISNUMBER(Datos!AB11),Datos!AB11,"-")</f>
        <v>202</v>
      </c>
      <c r="AI11" s="334"/>
      <c r="AJ11" s="334"/>
      <c r="AK11" s="334"/>
      <c r="AL11" s="479"/>
      <c r="AM11" s="335">
        <f>IF(ISNUMBER(Datos!R11),Datos!R11," - ")</f>
        <v>817</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f>IF(ISNUMBER(Datos!M11),Datos!M11," - ")</f>
        <v>194</v>
      </c>
      <c r="BD11" s="229">
        <f>IF(ISNUMBER(Datos!N11),Datos!N11," - ")</f>
        <v>298</v>
      </c>
      <c r="BE11" s="229" t="str">
        <f>IF(ISNUMBER(Datos!BW11),Datos!BW11," - ")</f>
        <v xml:space="preserve"> - </v>
      </c>
      <c r="BF11" s="228" t="str">
        <f>IF(ISNUMBER(Datos!BX11),Datos!BX11," - ")</f>
        <v xml:space="preserve"> - </v>
      </c>
      <c r="BG11" s="243">
        <f>IF(ISNUMBER(IF(J_V="SI",Datos!K11/Datos!J11,(Datos!K11+Datos!AA11)/(Datos!J11+Datos!Z11))),IF(J_V="SI",Datos!K11/Datos!J11,(Datos!K11+Datos!AA11)/(Datos!J11+Datos!Z11))," - ")</f>
        <v>0.94581280788177335</v>
      </c>
      <c r="BH11" s="260">
        <f>IF(ISNUMBER(((IF(J_V="SI",Datos!L11/Datos!K11,(Datos!L11+Datos!AB11)/(Datos!K11+Datos!AA11)))*11)/factor_trimestre),((IF(J_V="SI",Datos!L11/Datos!K11,(Datos!L11+Datos!AB11)/(Datos!K11+Datos!AA11)))*11)/factor_trimestre," - ")</f>
        <v>5.015625</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f>IF(ISNUMBER((Datos!P11-Datos!Q11+Datos!DE11)/(Datos!R11-Datos!P11+Datos!Q11-Datos!DE11)),(Datos!P11-Datos!Q11+Datos!DE11)/(Datos!R11-Datos!P11+Datos!Q11-Datos!DE11)," - ")</f>
        <v>4.2091836734693876E-2</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0</v>
      </c>
      <c r="B12" s="507" t="s">
        <v>246</v>
      </c>
      <c r="C12" s="7" t="str">
        <f>Datos!A12</f>
        <v xml:space="preserve">Jdos. 1ª Instª. e Instr.                        </v>
      </c>
      <c r="D12" s="508"/>
      <c r="E12" s="260">
        <f>IF(ISNUMBER(Datos!AQ12),Datos!AQ12," - ")</f>
        <v>0</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t="str">
        <f>IF(ISNUMBER(Datos!Z12),Datos!Z12," - ")</f>
        <v xml:space="preserve"> - </v>
      </c>
      <c r="O12" s="334"/>
      <c r="P12" s="334"/>
      <c r="Q12" s="226">
        <f>IF(ISNUMBER(Datos!P12),Datos!P12,0)</f>
        <v>0</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t="str">
        <f>IF(ISNUMBER(Datos!Q12),Datos!Q12," - ")</f>
        <v xml:space="preserve"> - </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t="str">
        <f>IF(ISNUMBER(Datos!AB12),Datos!AB12,"-")</f>
        <v>-</v>
      </c>
      <c r="AI12" s="334" t="str">
        <f>IF(ISNUMBER(Datos!CD12),Datos!CD12,"-")</f>
        <v>-</v>
      </c>
      <c r="AJ12" s="334" t="str">
        <f>IF(ISNUMBER(Datos!EN12),Datos!EN12," - ")</f>
        <v xml:space="preserve"> - </v>
      </c>
      <c r="AK12" s="334"/>
      <c r="AL12" s="479"/>
      <c r="AM12" s="335" t="str">
        <f>IF(ISNUMBER(Datos!R12),Datos!R12," - ")</f>
        <v xml:space="preserve"> - </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t="str">
        <f>IF(ISNUMBER(Datos!M12),Datos!M12," - ")</f>
        <v xml:space="preserve"> - </v>
      </c>
      <c r="BD12" s="229" t="str">
        <f>IF(ISNUMBER(Datos!N12),Datos!N12," - ")</f>
        <v xml:space="preserve"> - </v>
      </c>
      <c r="BE12" s="229" t="str">
        <f>IF(ISNUMBER(Datos!BW12),Datos!BW12," - ")</f>
        <v xml:space="preserve"> - </v>
      </c>
      <c r="BF12" s="228" t="str">
        <f>IF(ISNUMBER(Datos!BX12),Datos!BX12," - ")</f>
        <v xml:space="preserve"> - </v>
      </c>
      <c r="BG12" s="243" t="str">
        <f>IF(ISNUMBER(IF(J_V="SI",Datos!K12/Datos!J12,(Datos!K12+Datos!AA12)/(Datos!J12+Datos!Z12))),IF(J_V="SI",Datos!K12/Datos!J12,(Datos!K12+Datos!AA12)/(Datos!J12+Datos!Z12))," - ")</f>
        <v xml:space="preserve"> - </v>
      </c>
      <c r="BH12" s="260" t="str">
        <f>IF(ISNUMBER(((IF(J_V="SI",Datos!L12/Datos!K12,(Datos!L12+Datos!AB12)/(Datos!K12+Datos!AA12)))*11)/factor_trimestre),((IF(J_V="SI",Datos!L12/Datos!K12,(Datos!L12+Datos!AB12)/(Datos!K12+Datos!AA12)))*11)/factor_trimestre," - ")</f>
        <v xml:space="preserve"> - </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t="str">
        <f>IF(ISNUMBER((Datos!P12-Datos!Q12+Datos!DE12)/(Datos!R12-Datos!P12+Datos!Q12-Datos!DE12)),(Datos!P12-Datos!Q12+Datos!DE12)/(Datos!R12-Datos!P12+Datos!Q12-Datos!DE12)," - ")</f>
        <v xml:space="preserve"> - </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9</v>
      </c>
      <c r="F13" s="898">
        <f t="shared" si="0"/>
        <v>108</v>
      </c>
      <c r="G13" s="898">
        <f t="shared" si="0"/>
        <v>108</v>
      </c>
      <c r="H13" s="899">
        <f t="shared" si="0"/>
        <v>0</v>
      </c>
      <c r="I13" s="898">
        <f t="shared" si="0"/>
        <v>0</v>
      </c>
      <c r="J13" s="867">
        <f t="shared" si="0"/>
        <v>0</v>
      </c>
      <c r="K13" s="867">
        <f t="shared" si="0"/>
        <v>0</v>
      </c>
      <c r="L13" s="899">
        <f t="shared" si="0"/>
        <v>0</v>
      </c>
      <c r="M13" s="899">
        <f t="shared" si="0"/>
        <v>0</v>
      </c>
      <c r="N13" s="899">
        <f t="shared" si="0"/>
        <v>272</v>
      </c>
      <c r="O13" s="900">
        <f t="shared" si="0"/>
        <v>0</v>
      </c>
      <c r="P13" s="900">
        <f t="shared" si="0"/>
        <v>0</v>
      </c>
      <c r="Q13" s="899">
        <f t="shared" si="0"/>
        <v>1258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44</v>
      </c>
      <c r="AC13" s="899">
        <f t="shared" si="1"/>
        <v>736</v>
      </c>
      <c r="AD13" s="899">
        <f t="shared" si="1"/>
        <v>0</v>
      </c>
      <c r="AE13" s="899">
        <f t="shared" si="1"/>
        <v>0</v>
      </c>
      <c r="AF13" s="899">
        <f t="shared" si="1"/>
        <v>116</v>
      </c>
      <c r="AG13" s="899">
        <f t="shared" si="1"/>
        <v>0</v>
      </c>
      <c r="AH13" s="899">
        <f t="shared" si="1"/>
        <v>202</v>
      </c>
      <c r="AI13" s="899">
        <f t="shared" si="1"/>
        <v>0</v>
      </c>
      <c r="AJ13" s="899">
        <f t="shared" si="1"/>
        <v>0</v>
      </c>
      <c r="AK13" s="899">
        <f t="shared" si="1"/>
        <v>0</v>
      </c>
      <c r="AL13" s="899">
        <f t="shared" si="1"/>
        <v>0</v>
      </c>
      <c r="AM13" s="899">
        <f t="shared" si="1"/>
        <v>11175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872</v>
      </c>
      <c r="BD13" s="899">
        <f t="shared" si="1"/>
        <v>1680</v>
      </c>
      <c r="BE13" s="899">
        <f t="shared" si="1"/>
        <v>0</v>
      </c>
      <c r="BF13" s="899">
        <f t="shared" si="1"/>
        <v>0</v>
      </c>
      <c r="BG13" s="899">
        <f>IF(ISNUMBER(Datos!K13/Datos!J13),Datos!K13/Datos!J13," - ")</f>
        <v>0.79393939393939394</v>
      </c>
      <c r="BH13" s="903">
        <f>IF(ISNUMBER(((Datos!L13/Datos!K13)*11)/factor_trimestre),((Datos!L13/Datos!K13)*11)/factor_trimestre," - ")</f>
        <v>6.4506543075245375</v>
      </c>
      <c r="BI13" s="899">
        <f>IF(ISNUMBER('Resol  Asuntos'!D13/NºAsuntos!G13),'Resol  Asuntos'!D13/NºAsuntos!G13," - ")</f>
        <v>0.22273307790549171</v>
      </c>
      <c r="BJ13" s="899" t="str">
        <f>IF(ISNUMBER(Datos!CI13/Datos!CJ13),Datos!CI13/Datos!CJ13," - ")</f>
        <v xml:space="preserve"> - </v>
      </c>
      <c r="BK13" s="899">
        <f>SUBTOTAL(9,BK8:BK12)</f>
        <v>0</v>
      </c>
      <c r="BL13" s="899">
        <f>IF(ISNUMBER((I13-AB13+L13)/(F13)),(I13-AB13+L13)/(F13)," - ")</f>
        <v>-0.40740740740740738</v>
      </c>
      <c r="BM13" s="904">
        <f>SUBTOTAL(9,BM9:BM12)</f>
        <v>0.14980156475880765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5</v>
      </c>
      <c r="B15" s="594" t="s">
        <v>396</v>
      </c>
      <c r="C15" s="600" t="str">
        <f>Datos!A15</f>
        <v xml:space="preserve">Jdos. Instrucción                               </v>
      </c>
      <c r="D15" s="601"/>
      <c r="E15" s="1165">
        <f>IF(ISNUMBER(Datos!AQ15),Datos!AQ15," - ")</f>
        <v>5</v>
      </c>
      <c r="F15" s="595">
        <f>IF(ISNUMBER(AF15+AB15-Datos!J15-L15),AF15+AB15-Datos!J15-L15," - ")</f>
        <v>3051</v>
      </c>
      <c r="G15" s="598">
        <f>IF(ISNUMBER(IF(D_I="SI",Datos!I15,Datos!I15+Datos!AC15)),IF(D_I="SI",Datos!I15,Datos!I15+Datos!AC15)," - ")</f>
        <v>3000</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214</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f>IF(ISNUMBER(IF(D_I="SI",Datos!K15,Datos!K15+Datos!AE15)),IF(D_I="SI",Datos!K15,Datos!K15+Datos!AE15)," - ")</f>
        <v>3161</v>
      </c>
      <c r="AC15" s="226">
        <f>IF(ISNUMBER(Datos!Q15),Datos!Q15," - ")</f>
        <v>165</v>
      </c>
      <c r="AD15" s="334"/>
      <c r="AE15" s="484"/>
      <c r="AF15" s="596">
        <f>IF(ISNUMBER(IF(D_I="SI",Datos!L15,Datos!L15+Datos!AF15)),IF(D_I="SI",Datos!L15,Datos!L15+Datos!AF15)," - ")</f>
        <v>2844</v>
      </c>
      <c r="AG15" s="334"/>
      <c r="AH15" s="334"/>
      <c r="AI15" s="334"/>
      <c r="AJ15" s="334"/>
      <c r="AK15" s="334"/>
      <c r="AL15" s="479"/>
      <c r="AM15" s="335">
        <f>IF(ISNUMBER(Datos!R15),Datos!R15," - ")</f>
        <v>444</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f>IF(ISNUMBER(Datos!M15),Datos!M15," - ")</f>
        <v>433</v>
      </c>
      <c r="BD15" s="229">
        <f>IF(ISNUMBER(Datos!N15),Datos!N15," - ")</f>
        <v>2070</v>
      </c>
      <c r="BE15" s="229" t="str">
        <f>IF(ISNUMBER(Datos!BW15),Datos!BW15," - ")</f>
        <v xml:space="preserve"> - </v>
      </c>
      <c r="BF15" s="228" t="str">
        <f>IF(ISNUMBER(Datos!BX15),Datos!BX15," - ")</f>
        <v xml:space="preserve"> - </v>
      </c>
      <c r="BG15" s="243">
        <f>IF(ISNUMBER(IF(D_I="SI",Datos!K15/Datos!J15,(Datos!K15+Datos!AE15)/(Datos!J15+Datos!AD15))),IF(D_I="SI",Datos!K15/Datos!J15,(Datos!K15+Datos!AE15)/(Datos!J15+Datos!AD15))," - ")</f>
        <v>1.0700744752877454</v>
      </c>
      <c r="BH15" s="260">
        <f>IF(ISNUMBER(((IF(D_I="SI",Datos!L15/Datos!K15,(Datos!L15+Datos!AF15)/(Datos!K15+Datos!AE15)))*11)/factor_trimestre),((IF(D_I="SI",Datos!L15/Datos!K15,(Datos!L15+Datos!AF15)/(Datos!K15+Datos!AE15)))*11)/factor_trimestre," - ")</f>
        <v>2.6991458399240749</v>
      </c>
      <c r="BI15" s="243">
        <f>IF(ISNUMBER('Resol  Asuntos'!D15/NºAsuntos!G15),'Resol  Asuntos'!D15/NºAsuntos!G15," - ")</f>
        <v>0.13698196773173046</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0</v>
      </c>
      <c r="B16" s="594" t="s">
        <v>396</v>
      </c>
      <c r="C16" s="600" t="str">
        <f>Datos!A16</f>
        <v xml:space="preserve">Jdos. 1ª Instª. e Instr.                        </v>
      </c>
      <c r="D16" s="601"/>
      <c r="E16" s="1165">
        <f>IF(ISNUMBER(Datos!AQ16),Datos!AQ16," - ")</f>
        <v>0</v>
      </c>
      <c r="F16" s="595" t="str">
        <f>IF(ISNUMBER(AF16+AB16-Datos!J16-L16),AF16+AB16-Datos!J16-L16," - ")</f>
        <v xml:space="preserve"> - </v>
      </c>
      <c r="G16" s="598" t="str">
        <f>IF(ISNUMBER(IF(D_I="SI",Datos!I16,Datos!I16+Datos!AC16)),IF(D_I="SI",Datos!I16,Datos!I16+Datos!AC16)," - ")</f>
        <v xml:space="preserve"> - </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t="str">
        <f>IF(ISNUMBER(IF(D_I="SI",Datos!K16,Datos!K16+Datos!AE16)),IF(D_I="SI",Datos!K16,Datos!K16+Datos!AE16)," - ")</f>
        <v xml:space="preserve"> - </v>
      </c>
      <c r="AC16" s="226" t="str">
        <f>IF(ISNUMBER(Datos!Q16),Datos!Q16," - ")</f>
        <v xml:space="preserve"> - </v>
      </c>
      <c r="AD16" s="334"/>
      <c r="AE16" s="484"/>
      <c r="AF16" s="596" t="str">
        <f>IF(ISNUMBER(IF(D_I="SI",Datos!L16,Datos!L16+Datos!AF16)),IF(D_I="SI",Datos!L16,Datos!L16+Datos!AF16)," - ")</f>
        <v xml:space="preserve"> - </v>
      </c>
      <c r="AG16" s="334"/>
      <c r="AH16" s="334"/>
      <c r="AI16" s="334"/>
      <c r="AJ16" s="334"/>
      <c r="AK16" s="334"/>
      <c r="AL16" s="479"/>
      <c r="AM16" s="335" t="str">
        <f>IF(ISNUMBER(Datos!R16),Datos!R16," - ")</f>
        <v xml:space="preserve"> - </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t="str">
        <f>IF(ISNUMBER(Datos!M16),Datos!M16," - ")</f>
        <v xml:space="preserve"> - </v>
      </c>
      <c r="BD16" s="229" t="str">
        <f>IF(ISNUMBER(Datos!N16),Datos!N16," - ")</f>
        <v xml:space="preserve"> - </v>
      </c>
      <c r="BE16" s="229" t="str">
        <f>IF(ISNUMBER(Datos!BW16),Datos!BW16," - ")</f>
        <v xml:space="preserve"> - </v>
      </c>
      <c r="BF16" s="228" t="str">
        <f>IF(ISNUMBER(Datos!BX16),Datos!BX16," - ")</f>
        <v xml:space="preserve"> - </v>
      </c>
      <c r="BG16" s="243" t="str">
        <f>IF(ISNUMBER(IF(D_I="SI",Datos!K16/Datos!J16,(Datos!K16+Datos!AE16)/(Datos!J16+Datos!AD16))),IF(D_I="SI",Datos!K16/Datos!J16,(Datos!K16+Datos!AE16)/(Datos!J16+Datos!AD16))," - ")</f>
        <v xml:space="preserve"> - </v>
      </c>
      <c r="BH16" s="260" t="str">
        <f>IF(ISNUMBER(((IF(D_I="SI",Datos!L16/Datos!K16,(Datos!L16+Datos!AF16)/(Datos!K16+Datos!AE16)))*11)/factor_trimestre),((IF(D_I="SI",Datos!L16/Datos!K16,(Datos!L16+Datos!AF16)/(Datos!K16+Datos!AE16)))*11)/factor_trimestre," - ")</f>
        <v xml:space="preserve"> - </v>
      </c>
      <c r="BI16" s="243" t="str">
        <f>IF(ISNUMBER('Resol  Asuntos'!D16/NºAsuntos!G16),'Resol  Asuntos'!D16/NºAsuntos!G16," - ")</f>
        <v xml:space="preserve"> - </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281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306</v>
      </c>
      <c r="AC17" s="226">
        <f>IF(ISNUMBER(Datos!Q17),Datos!Q17," - ")</f>
        <v>2</v>
      </c>
      <c r="AD17" s="334"/>
      <c r="AE17" s="484"/>
      <c r="AF17" s="332">
        <f>IF(ISNUMBER(Datos!L17),Datos!L17,"-")</f>
        <v>268</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49</v>
      </c>
      <c r="BD17" s="229">
        <f>IF(ISNUMBER(Datos!N17),Datos!N17," - ")</f>
        <v>202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1.0443686006825939</v>
      </c>
      <c r="BH17" s="260">
        <f>IF(ISNUMBER(((IF(D_I="SI",Datos!L17/Datos!K17,(Datos!L17+Datos!AF17)/(Datos!K17+Datos!AE17)))*11)/factor_trimestre),((IF(D_I="SI",Datos!L17/Datos!K17,(Datos!L17+Datos!AF17)/(Datos!K17+Datos!AE17)))*11)/factor_trimestre," - ")</f>
        <v>2.6274509803921569</v>
      </c>
      <c r="BI17" s="243">
        <f>IF(ISNUMBER('Resol  Asuntos'!D17/NºAsuntos!G17),'Resol  Asuntos'!D17/NºAsuntos!G17," - ")</f>
        <v>0.16013071895424835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6</v>
      </c>
      <c r="F18" s="898">
        <f>SUBTOTAL(9,F15:F17)</f>
        <v>3051</v>
      </c>
      <c r="G18" s="898">
        <f>SUBTOTAL(9,G15:G17)</f>
        <v>3281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214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3467</v>
      </c>
      <c r="AC18" s="899">
        <f t="shared" si="4"/>
        <v>167</v>
      </c>
      <c r="AD18" s="899">
        <f t="shared" si="4"/>
        <v>0</v>
      </c>
      <c r="AE18" s="899">
        <f t="shared" si="4"/>
        <v>0</v>
      </c>
      <c r="AF18" s="899">
        <f t="shared" si="4"/>
        <v>3112</v>
      </c>
      <c r="AG18" s="899">
        <f t="shared" si="4"/>
        <v>0</v>
      </c>
      <c r="AH18" s="899">
        <f t="shared" si="4"/>
        <v>0</v>
      </c>
      <c r="AI18" s="899">
        <f t="shared" si="4"/>
        <v>0</v>
      </c>
      <c r="AJ18" s="899">
        <f t="shared" si="4"/>
        <v>0</v>
      </c>
      <c r="AK18" s="899">
        <f t="shared" si="4"/>
        <v>0</v>
      </c>
      <c r="AL18" s="899">
        <f t="shared" si="4"/>
        <v>0</v>
      </c>
      <c r="AM18" s="899">
        <f t="shared" si="4"/>
        <v>454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482</v>
      </c>
      <c r="BD18" s="899">
        <f t="shared" si="4"/>
        <v>2272</v>
      </c>
      <c r="BE18" s="899">
        <f t="shared" si="4"/>
        <v>0</v>
      </c>
      <c r="BF18" s="899">
        <f t="shared" si="4"/>
        <v>0</v>
      </c>
      <c r="BG18" s="899">
        <f>IF(ISNUMBER(Datos!K18/Datos!J18),Datos!K18/Datos!J18," - ")</f>
        <v>1.0677548506313521</v>
      </c>
      <c r="BH18" s="903">
        <f>IF(ISNUMBER(((Datos!L18/Datos!K18)*11)/factor_trimestre),((Datos!L18/Datos!K18)*11)/factor_trimestre," - ")</f>
        <v>2.6928179982693972</v>
      </c>
      <c r="BI18" s="899">
        <f>SUBTOTAL(9,BI15:BI17)</f>
        <v>0.29711268668597879</v>
      </c>
      <c r="BJ18" s="899">
        <f>SUBTOTAL(9,BJ15:BJ17)</f>
        <v>0</v>
      </c>
      <c r="BK18" s="899">
        <f>SUBTOTAL(9,BK15:BK17)</f>
        <v>0</v>
      </c>
      <c r="BL18" s="899">
        <f>IF(ISNUMBER((I18-AB18+L18)/(F18)),(I18-AB18+L18)/(F18)," - ")</f>
        <v>-1.1363487381186497</v>
      </c>
      <c r="BM18" s="905">
        <f>IF(ISNUMBER((Datos!P18-Datos!Q18)/(Datos!R18-Datos!P18+Datos!Q18)),(Datos!P18-Datos!Q18)/(Datos!R18-Datos!P18+Datos!Q18)," - ")</f>
        <v>0.11547911547911548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15</v>
      </c>
      <c r="F19" s="820">
        <f t="shared" si="6"/>
        <v>3159</v>
      </c>
      <c r="G19" s="820">
        <f t="shared" si="6"/>
        <v>3389</v>
      </c>
      <c r="H19" s="822">
        <f t="shared" si="6"/>
        <v>0</v>
      </c>
      <c r="I19" s="820">
        <f t="shared" si="6"/>
        <v>0</v>
      </c>
      <c r="J19" s="822">
        <f t="shared" si="6"/>
        <v>0</v>
      </c>
      <c r="K19" s="822">
        <f t="shared" si="6"/>
        <v>0</v>
      </c>
      <c r="L19" s="881">
        <f t="shared" si="6"/>
        <v>0</v>
      </c>
      <c r="M19" s="881">
        <f t="shared" si="6"/>
        <v>0</v>
      </c>
      <c r="N19" s="881">
        <f t="shared" si="6"/>
        <v>272</v>
      </c>
      <c r="O19" s="881">
        <f t="shared" si="6"/>
        <v>0</v>
      </c>
      <c r="P19" s="881">
        <f t="shared" si="6"/>
        <v>0</v>
      </c>
      <c r="Q19" s="822">
        <f t="shared" si="6"/>
        <v>1472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3511</v>
      </c>
      <c r="AC19" s="821">
        <f t="shared" si="7"/>
        <v>903</v>
      </c>
      <c r="AD19" s="821">
        <f t="shared" si="7"/>
        <v>0</v>
      </c>
      <c r="AE19" s="821">
        <f t="shared" si="7"/>
        <v>0</v>
      </c>
      <c r="AF19" s="828">
        <f t="shared" si="7"/>
        <v>3228</v>
      </c>
      <c r="AG19" s="828">
        <f t="shared" si="7"/>
        <v>0</v>
      </c>
      <c r="AH19" s="828">
        <f t="shared" si="7"/>
        <v>202</v>
      </c>
      <c r="AI19" s="828">
        <f t="shared" si="7"/>
        <v>0</v>
      </c>
      <c r="AJ19" s="821">
        <f t="shared" si="7"/>
        <v>0</v>
      </c>
      <c r="AK19" s="828">
        <f t="shared" si="7"/>
        <v>0</v>
      </c>
      <c r="AL19" s="828">
        <f t="shared" si="7"/>
        <v>0</v>
      </c>
      <c r="AM19" s="828">
        <f t="shared" si="7"/>
        <v>11629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1354</v>
      </c>
      <c r="BD19" s="820">
        <f t="shared" si="7"/>
        <v>3952</v>
      </c>
      <c r="BE19" s="820">
        <f t="shared" si="7"/>
        <v>0</v>
      </c>
      <c r="BF19" s="830">
        <f t="shared" si="7"/>
        <v>0</v>
      </c>
      <c r="BG19" s="915">
        <f>IF(ISNUMBER(Datos!K19/Datos!J19),Datos!K19/Datos!J19," - ")</f>
        <v>0.90695309520783018</v>
      </c>
      <c r="BH19" s="915">
        <f>IF(ISNUMBER(((Datos!L19/Datos!K19)*11)/factor_trimestre),((Datos!L19/Datos!K19)*11)/factor_trimestre," - ")</f>
        <v>4.6246671338472316</v>
      </c>
      <c r="BI19" s="813">
        <f>IF(ISNUMBER(Datos!J19/Datos!I19),Datos!J19/Datos!I19," - ")</f>
        <v>0.76519793794377977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-1.1114276669832226</v>
      </c>
      <c r="BM19" s="889">
        <f>IF(ISNUMBER((Datos!P19-Datos!Q19+R19)/(Datos!R19-Datos!P19+Datos!Q19-R19)),(Datos!P19-Datos!Q19+R19)/(Datos!R19-Datos!P19+Datos!Q19-R19)," - ")</f>
        <v>5.1446654611211576E-2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1355.6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3.2403703492039302</v>
      </c>
      <c r="F21" s="551">
        <f>IF(ISNUMBER(STDEV(F8:F18)),STDEV(F8:F18),"-")</f>
        <v>1699.1418422250686</v>
      </c>
      <c r="G21" s="552">
        <f>IF(ISNUMBER(STDEV(G8:G18)),STDEV(G8:G18),"-")</f>
        <v>1633.9364430723735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1749.8443645078839</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316.80142496072023</v>
      </c>
      <c r="BD21" s="551"/>
      <c r="BE21" s="551">
        <f>IF(ISNUMBER(STDEV(BE8:BE18)),STDEV(BE8:BE18),"-")</f>
        <v>0</v>
      </c>
      <c r="BF21" s="556">
        <f>IF(ISNUMBER(STDEV(BF8:BF18)),STDEV(BF8:BF18),"-")</f>
        <v>0</v>
      </c>
      <c r="BG21" s="775">
        <f>IF(ISNUMBER(STDEV(BG8:BG18)),STDEV(BG8:BG18),"-")</f>
        <v>0.13091991932156016</v>
      </c>
      <c r="BH21" s="776">
        <f>IF(ISNUMBER(STDEV(BH8:BH18)),STDEV(BH8:BH18),"-")</f>
        <v>2.1901433063241202</v>
      </c>
      <c r="BI21" s="249">
        <f>IF(ISNUMBER(STDEV(BI8:BI18)),STDEV(BI8:BI18),"-")</f>
        <v>7.1732376328181718E-2</v>
      </c>
      <c r="BJ21" s="230" t="str">
        <f>IF(ISNUMBER(BL21/BM21),BL21/BM21," - ")</f>
        <v xml:space="preserve"> - </v>
      </c>
      <c r="BK21" s="575"/>
      <c r="BL21" s="559">
        <f>IF(ISNUMBER(STDEV(BL8:BL18)),STDEV(BL8:BL18),"-")</f>
        <v>0.51543935803306506</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L8DoV8Fzau500MgeRSFzKkamV+WUUV37iZmGnxwxNwhTKRavghtEImMpjoVHSgiyjOzwKXVO1RljmuYbMyXP2Q==" saltValue="ETE3xCJOTcl8quWxbTFE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ANDALUCIA</v>
      </c>
    </row>
    <row r="2" spans="1:73" ht="16.5" customHeight="1">
      <c r="C2" s="528" t="str">
        <f>Criterios!A10 &amp;"  "&amp;Criterios!B10 &amp; "  " &amp; IF(NOT(ISBLANK(Criterios!A11)),Criterios!A11 &amp;"  "&amp;Criterios!B11,"")</f>
        <v>Provincias  HUELVA  Resumenes por Partidos Judiciales  HUELVA</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6</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1124</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f>IF(ISNUMBER(Datos!Q9),Datos!Q9," - ")</f>
        <v>641</v>
      </c>
      <c r="AA9" s="332" t="str">
        <f>IF(ISNUMBER(IF(J_V="SI",Datos!L9,Datos!L9+Datos!AB9)-IF(Monitorios="SI",Datos!CD9,0)),
                          IF(J_V="SI",Datos!L9,Datos!L9+Datos!AB9)-IF(Monitorios="SI",Datos!CD9,0),
                          " - ")</f>
        <v xml:space="preserve"> - </v>
      </c>
      <c r="AB9" s="334"/>
      <c r="AC9" s="334"/>
      <c r="AD9" s="484"/>
      <c r="AE9" s="484">
        <f>IF(ISNUMBER(Datos!R9),Datos!R9," - ")</f>
        <v>10249</v>
      </c>
      <c r="AF9" s="229" t="str">
        <f>IF(ISNUMBER(Datos!BV9),Datos!BV9," - ")</f>
        <v xml:space="preserve"> - </v>
      </c>
      <c r="AG9" s="225" t="str">
        <f>IF(ISNUMBER(Datos!DV9),Datos!DV9," - ")</f>
        <v xml:space="preserve"> - </v>
      </c>
      <c r="AH9" s="298"/>
      <c r="AI9" s="227"/>
      <c r="AJ9" s="225">
        <f>IF(ISNUMBER(Datos!M9),Datos!M9," - ")</f>
        <v>655</v>
      </c>
      <c r="AK9" s="229">
        <f>IF(ISNUMBER(Datos!N9),Datos!N9," - ")</f>
        <v>1367</v>
      </c>
      <c r="AL9" s="229" t="str">
        <f>IF(ISNUMBER(Datos!BW9),Datos!BW9," - ")</f>
        <v xml:space="preserve"> - </v>
      </c>
      <c r="AM9" s="228" t="str">
        <f>IF(ISNUMBER(Datos!BX9),Datos!BX9," - ")</f>
        <v xml:space="preserve"> - </v>
      </c>
      <c r="AN9" s="243"/>
      <c r="AO9" s="260">
        <f>IF(ISNUMBER(((NºAsuntos!I9/NºAsuntos!G9)*11)/factor_trimestre),((NºAsuntos!I9/NºAsuntos!G9)*11)/factor_trimestre," - ")</f>
        <v>6.4669674508540131</v>
      </c>
      <c r="AP9" s="230" t="str">
        <f>IF(ISNUMBER(Datos!CI9/Datos!CJ9),Datos!CI9/Datos!CJ9," - ")</f>
        <v xml:space="preserve"> - </v>
      </c>
      <c r="AQ9" s="230" t="str">
        <f>IF(ISNUMBER((J9-Y9+K9)/(F9)),(J9-Y9+K9)/(F9)," - ")</f>
        <v xml:space="preserve"> - </v>
      </c>
      <c r="AR9" s="230">
        <f>IF(ISNUMBER((Datos!P9-Datos!Q9+Datos!DE9)/(Datos!R9-Datos!P9+Datos!Q9-Datos!DE9)),(Datos!P9-Datos!Q9+Datos!DE9)/(Datos!R9-Datos!P9+Datos!Q9-Datos!DE9)," - ")</f>
        <v>4.9457300839647757E-2</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1</v>
      </c>
      <c r="F10" s="225">
        <f>IF(ISNUMBER(Datos!L10+Datos!K10-Datos!J10),Datos!L10+Datos!K10-Datos!J10," - ")</f>
        <v>108</v>
      </c>
      <c r="G10" s="225">
        <f>IF(ISNUMBER(Datos!I10),Datos!I10," - ")</f>
        <v>108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27</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44</v>
      </c>
      <c r="Z10" s="619">
        <f>IF(ISNUMBER(Datos!Q10),Datos!Q10," - ")</f>
        <v>21</v>
      </c>
      <c r="AA10" s="332">
        <f>IF(ISNUMBER(Datos!L10),Datos!L10,"-")</f>
        <v>116</v>
      </c>
      <c r="AB10" s="334"/>
      <c r="AC10" s="334"/>
      <c r="AD10" s="484"/>
      <c r="AE10" s="484">
        <f>IF(ISNUMBER(Datos!R10),Datos!R10," - ")</f>
        <v>109</v>
      </c>
      <c r="AF10" s="229" t="str">
        <f>IF(ISNUMBER(Datos!BV10),Datos!BV10," - ")</f>
        <v xml:space="preserve"> - </v>
      </c>
      <c r="AG10" s="225" t="str">
        <f>IF(ISNUMBER(Datos!DV10),Datos!DV10," - ")</f>
        <v xml:space="preserve"> - </v>
      </c>
      <c r="AH10" s="298"/>
      <c r="AI10" s="227"/>
      <c r="AJ10" s="225">
        <f>IF(ISNUMBER(Datos!M10),Datos!M10," - ")</f>
        <v>23</v>
      </c>
      <c r="AK10" s="229">
        <f>IF(ISNUMBER(Datos!N10),Datos!N10," - ")</f>
        <v>15</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7.9090909090909092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5.8252427184466021E-2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2</v>
      </c>
      <c r="B11" s="507" t="s">
        <v>246</v>
      </c>
      <c r="C11" s="7" t="str">
        <f>Datos!A11</f>
        <v xml:space="preserve">Jdos. Familia                                   </v>
      </c>
      <c r="D11" s="508"/>
      <c r="E11" s="1168">
        <f>IF(ISNUMBER(Datos!AQ11),Datos!AQ11," - ")</f>
        <v>2</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107</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f>IF(ISNUMBER(Datos!Q11),Datos!Q11," - ")</f>
        <v>74</v>
      </c>
      <c r="AA11" s="332" t="str">
        <f>IF(ISNUMBER(IF(J_V="SI",Datos!L11,Datos!L11+Datos!AB11)-IF(Monitorios="SI",Datos!CD11,0)),
                          IF(J_V="SI",Datos!L11,Datos!L11+Datos!AB11)-IF(Monitorios="SI",Datos!CD11,0),
                          " - ")</f>
        <v xml:space="preserve"> - </v>
      </c>
      <c r="AB11" s="334"/>
      <c r="AC11" s="334"/>
      <c r="AD11" s="484"/>
      <c r="AE11" s="484">
        <f>IF(ISNUMBER(Datos!R11),Datos!R11," - ")</f>
        <v>817</v>
      </c>
      <c r="AF11" s="229" t="str">
        <f>IF(ISNUMBER(Datos!BV11),Datos!BV11," - ")</f>
        <v xml:space="preserve"> - </v>
      </c>
      <c r="AG11" s="225" t="str">
        <f>IF(ISNUMBER(Datos!DV11),Datos!DV11," - ")</f>
        <v xml:space="preserve"> - </v>
      </c>
      <c r="AH11" s="298"/>
      <c r="AI11" s="227"/>
      <c r="AJ11" s="225">
        <f>IF(ISNUMBER(Datos!M11),Datos!M11," - ")</f>
        <v>194</v>
      </c>
      <c r="AK11" s="229">
        <f>IF(ISNUMBER(Datos!N11),Datos!N11," - ")</f>
        <v>298</v>
      </c>
      <c r="AL11" s="229" t="str">
        <f>IF(ISNUMBER(Datos!BW11),Datos!BW11," - ")</f>
        <v xml:space="preserve"> - </v>
      </c>
      <c r="AM11" s="228" t="str">
        <f>IF(ISNUMBER(Datos!BX11),Datos!BX11," - ")</f>
        <v xml:space="preserve"> - </v>
      </c>
      <c r="AN11" s="243"/>
      <c r="AO11" s="260">
        <f>IF(ISNUMBER(((NºAsuntos!I11/NºAsuntos!G11)*11)/factor_trimestre),((NºAsuntos!I11/NºAsuntos!G11)*11)/factor_trimestre," - ")</f>
        <v>5.015625</v>
      </c>
      <c r="AP11" s="230" t="str">
        <f>IF(ISNUMBER(Datos!CI11/Datos!CJ11),Datos!CI11/Datos!CJ11," - ")</f>
        <v xml:space="preserve"> - </v>
      </c>
      <c r="AQ11" s="230" t="str">
        <f>IF(ISNUMBER((J11-Y11+K11)/(F11)),(J11-Y11+K11)/(F11)," - ")</f>
        <v xml:space="preserve"> - </v>
      </c>
      <c r="AR11" s="230">
        <f>IF(ISNUMBER((Datos!P11-Datos!Q11+Datos!DE11)/(Datos!R11-Datos!P11+Datos!Q11-Datos!DE11)),(Datos!P11-Datos!Q11+Datos!DE11)/(Datos!R11-Datos!P11+Datos!Q11-Datos!DE11)," - ")</f>
        <v>4.2091836734693876E-2</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0</v>
      </c>
      <c r="B12" s="507" t="s">
        <v>246</v>
      </c>
      <c r="C12" s="7" t="str">
        <f>Datos!A12</f>
        <v xml:space="preserve">Jdos. 1ª Instª. e Instr.                        </v>
      </c>
      <c r="D12" s="508"/>
      <c r="E12" s="1168">
        <f>IF(ISNUMBER(Datos!AQ12),Datos!AQ12," - ")</f>
        <v>0</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0</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t="str">
        <f>IF(ISNUMBER(Datos!Q12),Datos!Q12," - ")</f>
        <v xml:space="preserve"> - </v>
      </c>
      <c r="AA12" s="332" t="str">
        <f>IF(ISNUMBER(IF(J_V="SI",Datos!L12,Datos!L12+Datos!AB12)-IF(Monitorios="SI",Datos!CD12,0)),
                          IF(J_V="SI",Datos!L12,Datos!L12+Datos!AB12)-IF(Monitorios="SI",Datos!CD12,0),
                          " - ")</f>
        <v xml:space="preserve"> - </v>
      </c>
      <c r="AB12" s="334"/>
      <c r="AC12" s="334"/>
      <c r="AD12" s="484"/>
      <c r="AE12" s="484" t="str">
        <f>IF(ISNUMBER(Datos!R12),Datos!R12," - ")</f>
        <v xml:space="preserve"> - </v>
      </c>
      <c r="AF12" s="229" t="str">
        <f>IF(ISNUMBER(Datos!BV12),Datos!BV12," - ")</f>
        <v xml:space="preserve"> - </v>
      </c>
      <c r="AG12" s="225" t="str">
        <f>IF(ISNUMBER(Datos!DV12),Datos!DV12," - ")</f>
        <v xml:space="preserve"> - </v>
      </c>
      <c r="AH12" s="298"/>
      <c r="AI12" s="227"/>
      <c r="AJ12" s="225" t="str">
        <f>IF(ISNUMBER(Datos!M12),Datos!M12," - ")</f>
        <v xml:space="preserve"> - </v>
      </c>
      <c r="AK12" s="229" t="str">
        <f>IF(ISNUMBER(Datos!N12),Datos!N12," - ")</f>
        <v xml:space="preserve"> - </v>
      </c>
      <c r="AL12" s="229" t="str">
        <f>IF(ISNUMBER(Datos!BW12),Datos!BW12," - ")</f>
        <v xml:space="preserve"> - </v>
      </c>
      <c r="AM12" s="228" t="str">
        <f>IF(ISNUMBER(Datos!BX12),Datos!BX12," - ")</f>
        <v xml:space="preserve"> - </v>
      </c>
      <c r="AN12" s="243"/>
      <c r="AO12" s="260" t="str">
        <f>IF(ISNUMBER(((NºAsuntos!I12/NºAsuntos!G12)*11)/factor_trimestre),((NºAsuntos!I12/NºAsuntos!G12)*11)/factor_trimestre," - ")</f>
        <v xml:space="preserve"> - </v>
      </c>
      <c r="AP12" s="230" t="str">
        <f>IF(ISNUMBER(Datos!CI12/Datos!CJ12),Datos!CI12/Datos!CJ12," - ")</f>
        <v xml:space="preserve"> - </v>
      </c>
      <c r="AQ12" s="230" t="str">
        <f>IF(ISNUMBER((J12-Y12+K12)/(F12)),(J12-Y12+K12)/(F12)," - ")</f>
        <v xml:space="preserve"> - </v>
      </c>
      <c r="AR12" s="230" t="str">
        <f>IF(ISNUMBER((Datos!P12-Datos!Q12+Datos!DE12)/(Datos!R12-Datos!P12+Datos!Q12-Datos!DE12)),(Datos!P12-Datos!Q12+Datos!DE12)/(Datos!R12-Datos!P12+Datos!Q12-Datos!DE12)," - ")</f>
        <v xml:space="preserve"> - </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9</v>
      </c>
      <c r="F13" s="898">
        <f>SUBTOTAL(9,F8:F12)</f>
        <v>108</v>
      </c>
      <c r="G13" s="898">
        <f>SUBTOTAL(9,G8:G12)</f>
        <v>108</v>
      </c>
      <c r="H13" s="908"/>
      <c r="I13" s="898">
        <f t="shared" ref="I13:N13" si="0">SUBTOTAL(9,I8:I12)</f>
        <v>0</v>
      </c>
      <c r="J13" s="867">
        <f t="shared" si="0"/>
        <v>0</v>
      </c>
      <c r="K13" s="908">
        <f t="shared" si="0"/>
        <v>0</v>
      </c>
      <c r="L13" s="908">
        <f t="shared" si="0"/>
        <v>0</v>
      </c>
      <c r="M13" s="908">
        <f t="shared" si="0"/>
        <v>0</v>
      </c>
      <c r="N13" s="908">
        <f t="shared" si="0"/>
        <v>1258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44</v>
      </c>
      <c r="Z13" s="907">
        <f t="shared" si="2"/>
        <v>736</v>
      </c>
      <c r="AA13" s="900">
        <f t="shared" si="2"/>
        <v>116</v>
      </c>
      <c r="AB13" s="900">
        <f t="shared" si="2"/>
        <v>0</v>
      </c>
      <c r="AC13" s="900">
        <f t="shared" si="2"/>
        <v>0</v>
      </c>
      <c r="AD13" s="900">
        <f t="shared" si="2"/>
        <v>0</v>
      </c>
      <c r="AE13" s="900">
        <f t="shared" si="2"/>
        <v>11175</v>
      </c>
      <c r="AF13" s="908">
        <f t="shared" si="2"/>
        <v>0</v>
      </c>
      <c r="AG13" s="908">
        <f t="shared" si="2"/>
        <v>0</v>
      </c>
      <c r="AH13" s="908">
        <f t="shared" si="2"/>
        <v>0</v>
      </c>
      <c r="AI13" s="908">
        <f t="shared" si="2"/>
        <v>0</v>
      </c>
      <c r="AJ13" s="908">
        <f t="shared" si="2"/>
        <v>872</v>
      </c>
      <c r="AK13" s="908">
        <f t="shared" si="2"/>
        <v>1680</v>
      </c>
      <c r="AL13" s="908">
        <f t="shared" si="2"/>
        <v>0</v>
      </c>
      <c r="AM13" s="908">
        <f t="shared" si="2"/>
        <v>0</v>
      </c>
      <c r="AN13" s="908">
        <f t="shared" si="2"/>
        <v>0</v>
      </c>
      <c r="AO13" s="904">
        <f>IF(ISNUMBER(((NºAsuntos!I13/NºAsuntos!G13)*11)/factor_trimestre),((NºAsuntos!I13/NºAsuntos!G13)*11)/factor_trimestre," - ")</f>
        <v>6.1984674329501921</v>
      </c>
      <c r="AP13" s="910" t="str">
        <f>IF(ISNUMBER(Datos!CI13/Datos!CJ13),Datos!CI13/Datos!CJ13," - ")</f>
        <v xml:space="preserve"> - </v>
      </c>
      <c r="AQ13" s="928">
        <f t="shared" ref="AQ13:AV13" si="3">SUBTOTAL(9,AQ9:AQ12)</f>
        <v>0</v>
      </c>
      <c r="AR13" s="928">
        <f t="shared" si="3"/>
        <v>0.14980156475880765</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5</v>
      </c>
      <c r="B15" s="507" t="s">
        <v>396</v>
      </c>
      <c r="C15" s="160" t="str">
        <f>Datos!A15</f>
        <v xml:space="preserve">Jdos. Instrucción                               </v>
      </c>
      <c r="D15" s="502"/>
      <c r="E15" s="1168">
        <f>IF(ISNUMBER(Datos!AQ15),Datos!AQ15," - ")</f>
        <v>5</v>
      </c>
      <c r="F15" s="333">
        <f>IF(ISNUMBER(AA15+Y15-Datos!J15-K15),AA15+Y15-Datos!J15-K15," - ")</f>
        <v>3051</v>
      </c>
      <c r="G15" s="225">
        <f>IF(ISNUMBER(IF(D_I="SI",Datos!I15,Datos!I15+Datos!AC15)),IF(D_I="SI",Datos!I15,Datos!I15+Datos!AC15)," - ")</f>
        <v>3000</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214</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f>IF(ISNUMBER(IF(D_I="SI",Datos!K15,Datos!K15+Datos!AE15)),IF(D_I="SI",Datos!K15,Datos!K15+Datos!AE15)," - ")</f>
        <v>3161</v>
      </c>
      <c r="Z15" s="619">
        <f>IF(ISNUMBER(Datos!Q15),Datos!Q15," - ")</f>
        <v>165</v>
      </c>
      <c r="AA15" s="332">
        <f>IF(ISNUMBER(IF(D_I="SI",Datos!L15,Datos!L15+Datos!AF15)),IF(D_I="SI",Datos!L15,Datos!L15+Datos!AF15)," - ")</f>
        <v>2844</v>
      </c>
      <c r="AB15" s="334"/>
      <c r="AC15" s="334"/>
      <c r="AD15" s="484"/>
      <c r="AE15" s="484">
        <f>IF(ISNUMBER(Datos!R15),Datos!R15," - ")</f>
        <v>444</v>
      </c>
      <c r="AF15" s="229" t="str">
        <f>IF(ISNUMBER(Datos!BV15),Datos!BV15," - ")</f>
        <v xml:space="preserve"> - </v>
      </c>
      <c r="AG15" s="225"/>
      <c r="AH15" s="298"/>
      <c r="AI15" s="227"/>
      <c r="AJ15" s="225">
        <f>IF(ISNUMBER(Datos!M15),Datos!M15," - ")</f>
        <v>433</v>
      </c>
      <c r="AK15" s="229">
        <f>IF(ISNUMBER(Datos!N15),Datos!N15," - ")</f>
        <v>2070</v>
      </c>
      <c r="AL15" s="229" t="str">
        <f>IF(ISNUMBER(Datos!BW15),Datos!BW15," - ")</f>
        <v xml:space="preserve"> - </v>
      </c>
      <c r="AM15" s="228" t="str">
        <f>IF(ISNUMBER(Datos!BX15),Datos!BX15," - ")</f>
        <v xml:space="preserve"> - </v>
      </c>
      <c r="AN15" s="243"/>
      <c r="AO15" s="260">
        <f>IF(ISNUMBER(((NºAsuntos!I15/NºAsuntos!G15)*11)/factor_trimestre),((NºAsuntos!I15/NºAsuntos!G15)*11)/factor_trimestre," - ")</f>
        <v>2.6991458399240749</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0</v>
      </c>
      <c r="B16" s="507" t="s">
        <v>396</v>
      </c>
      <c r="C16" s="160" t="str">
        <f>Datos!A16</f>
        <v xml:space="preserve">Jdos. 1ª Instª. e Instr.                        </v>
      </c>
      <c r="D16" s="502"/>
      <c r="E16" s="1168">
        <f>IF(ISNUMBER(Datos!AQ16),Datos!AQ16," - ")</f>
        <v>0</v>
      </c>
      <c r="F16" s="333" t="str">
        <f>IF(ISNUMBER(AA16+Y16-Datos!J16-K15),AA16+Y16-Datos!J16-K15," - ")</f>
        <v xml:space="preserve"> - </v>
      </c>
      <c r="G16" s="225" t="str">
        <f>IF(ISNUMBER(IF(D_I="SI",Datos!I16,Datos!I16+Datos!AC16)),IF(D_I="SI",Datos!I16,Datos!I16+Datos!AC16)," - ")</f>
        <v xml:space="preserve"> - </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t="str">
        <f>IF(ISNUMBER(IF(D_I="SI",Datos!K16,Datos!K16+Datos!AE16)),IF(D_I="SI",Datos!K16,Datos!K16+Datos!AE16)," - ")</f>
        <v xml:space="preserve"> - </v>
      </c>
      <c r="Z16" s="619" t="str">
        <f>IF(ISNUMBER(Datos!Q16),Datos!Q16," - ")</f>
        <v xml:space="preserve"> - </v>
      </c>
      <c r="AA16" s="332" t="str">
        <f>IF(ISNUMBER(IF(D_I="SI",Datos!L16,Datos!L16+Datos!AF16)),IF(D_I="SI",Datos!L16,Datos!L16+Datos!AF16)," - ")</f>
        <v xml:space="preserve"> - </v>
      </c>
      <c r="AB16" s="334"/>
      <c r="AC16" s="334"/>
      <c r="AD16" s="484"/>
      <c r="AE16" s="484" t="str">
        <f>IF(ISNUMBER(Datos!R16),Datos!R16," - ")</f>
        <v xml:space="preserve"> - </v>
      </c>
      <c r="AF16" s="229" t="str">
        <f>IF(ISNUMBER(Datos!BV16),Datos!BV16," - ")</f>
        <v xml:space="preserve"> - </v>
      </c>
      <c r="AG16" s="225"/>
      <c r="AH16" s="298"/>
      <c r="AI16" s="227"/>
      <c r="AJ16" s="225" t="str">
        <f>IF(ISNUMBER(Datos!M16),Datos!M16," - ")</f>
        <v xml:space="preserve"> - </v>
      </c>
      <c r="AK16" s="229" t="str">
        <f>IF(ISNUMBER(Datos!N16),Datos!N16," - ")</f>
        <v xml:space="preserve"> - </v>
      </c>
      <c r="AL16" s="229" t="str">
        <f>IF(ISNUMBER(Datos!BW16),Datos!BW16," - ")</f>
        <v xml:space="preserve"> - </v>
      </c>
      <c r="AM16" s="228" t="str">
        <f>IF(ISNUMBER(Datos!BX16),Datos!BX16," - ")</f>
        <v xml:space="preserve"> - </v>
      </c>
      <c r="AN16" s="243"/>
      <c r="AO16" s="260" t="str">
        <f>IF(ISNUMBER(((NºAsuntos!I16/NºAsuntos!G16)*11)/factor_trimestre),((NºAsuntos!I16/NºAsuntos!G16)*11)/factor_trimestre," - ")</f>
        <v xml:space="preserve"> - </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281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306</v>
      </c>
      <c r="Z17" s="619">
        <f>IF(ISNUMBER(Datos!Q17),Datos!Q17," - ")</f>
        <v>2</v>
      </c>
      <c r="AA17" s="332">
        <f>IF(ISNUMBER(Datos!L17),Datos!L17,"-")</f>
        <v>268</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49</v>
      </c>
      <c r="AK17" s="229">
        <f>IF(ISNUMBER(Datos!N17),Datos!N17," - ")</f>
        <v>202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2.6274509803921569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6</v>
      </c>
      <c r="F18" s="898">
        <f>SUBTOTAL(9,F15:F17)</f>
        <v>3051</v>
      </c>
      <c r="G18" s="898">
        <f>SUBTOTAL(9,G15:G17)</f>
        <v>3281</v>
      </c>
      <c r="H18" s="932">
        <f>SUBTOTAL(9,H15:H17)</f>
        <v>0</v>
      </c>
      <c r="I18" s="911">
        <f>SUBTOTAL(9,I15:I17)</f>
        <v>0</v>
      </c>
      <c r="J18" s="867">
        <f>SUBTOTAL(9,J14:J17)</f>
        <v>0</v>
      </c>
      <c r="K18" s="932">
        <f t="shared" ref="K18:S18" si="4">SUBTOTAL(9,K15:K17)</f>
        <v>0</v>
      </c>
      <c r="L18" s="932">
        <f t="shared" si="4"/>
        <v>0</v>
      </c>
      <c r="M18" s="932">
        <f t="shared" si="4"/>
        <v>0</v>
      </c>
      <c r="N18" s="932">
        <f t="shared" si="4"/>
        <v>214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3467</v>
      </c>
      <c r="Z18" s="932">
        <f t="shared" si="5"/>
        <v>167</v>
      </c>
      <c r="AA18" s="932">
        <f t="shared" si="5"/>
        <v>3112</v>
      </c>
      <c r="AB18" s="932">
        <f t="shared" si="5"/>
        <v>0</v>
      </c>
      <c r="AC18" s="932">
        <f t="shared" si="5"/>
        <v>0</v>
      </c>
      <c r="AD18" s="932">
        <f t="shared" si="5"/>
        <v>0</v>
      </c>
      <c r="AE18" s="932">
        <f t="shared" si="5"/>
        <v>454</v>
      </c>
      <c r="AF18" s="932">
        <f t="shared" si="5"/>
        <v>0</v>
      </c>
      <c r="AG18" s="932">
        <f t="shared" si="5"/>
        <v>0</v>
      </c>
      <c r="AH18" s="932">
        <f t="shared" si="5"/>
        <v>0</v>
      </c>
      <c r="AI18" s="932">
        <f t="shared" si="5"/>
        <v>0</v>
      </c>
      <c r="AJ18" s="932">
        <f t="shared" si="5"/>
        <v>482</v>
      </c>
      <c r="AK18" s="932">
        <f t="shared" si="5"/>
        <v>2272</v>
      </c>
      <c r="AL18" s="932">
        <f t="shared" si="5"/>
        <v>0</v>
      </c>
      <c r="AM18" s="932">
        <f t="shared" si="5"/>
        <v>0</v>
      </c>
      <c r="AN18" s="932">
        <f t="shared" si="5"/>
        <v>0</v>
      </c>
      <c r="AO18" s="934">
        <f>IF(ISNUMBER(((NºAsuntos!I18/NºAsuntos!G18)*11)/factor_trimestre),((NºAsuntos!I18/NºAsuntos!G18)*11)/factor_trimestre," - ")</f>
        <v>2.6928179982693972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15</v>
      </c>
      <c r="F19" s="820">
        <f t="shared" si="7"/>
        <v>3159</v>
      </c>
      <c r="G19" s="820">
        <f t="shared" si="7"/>
        <v>3389</v>
      </c>
      <c r="H19" s="821">
        <f t="shared" si="7"/>
        <v>0</v>
      </c>
      <c r="I19" s="820">
        <f t="shared" si="7"/>
        <v>0</v>
      </c>
      <c r="J19" s="822">
        <f t="shared" si="7"/>
        <v>0</v>
      </c>
      <c r="K19" s="820">
        <f t="shared" si="7"/>
        <v>0</v>
      </c>
      <c r="L19" s="823">
        <f t="shared" si="7"/>
        <v>0</v>
      </c>
      <c r="M19" s="820">
        <f t="shared" si="7"/>
        <v>0</v>
      </c>
      <c r="N19" s="821">
        <f t="shared" si="7"/>
        <v>1472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3511</v>
      </c>
      <c r="Z19" s="827">
        <f t="shared" si="8"/>
        <v>903</v>
      </c>
      <c r="AA19" s="828">
        <f t="shared" si="8"/>
        <v>3228</v>
      </c>
      <c r="AB19" s="828">
        <f t="shared" si="8"/>
        <v>0</v>
      </c>
      <c r="AC19" s="828">
        <f t="shared" si="8"/>
        <v>0</v>
      </c>
      <c r="AD19" s="829">
        <f t="shared" si="8"/>
        <v>0</v>
      </c>
      <c r="AE19" s="829">
        <f t="shared" si="8"/>
        <v>11629</v>
      </c>
      <c r="AF19" s="830">
        <f t="shared" si="8"/>
        <v>0</v>
      </c>
      <c r="AG19" s="831">
        <f t="shared" si="8"/>
        <v>0</v>
      </c>
      <c r="AH19" s="832">
        <f t="shared" si="8"/>
        <v>0</v>
      </c>
      <c r="AI19" s="830">
        <f t="shared" si="8"/>
        <v>0</v>
      </c>
      <c r="AJ19" s="820">
        <f t="shared" si="8"/>
        <v>1354</v>
      </c>
      <c r="AK19" s="820">
        <f t="shared" si="8"/>
        <v>3952</v>
      </c>
      <c r="AL19" s="820">
        <f t="shared" si="8"/>
        <v>0</v>
      </c>
      <c r="AM19" s="833">
        <f t="shared" si="8"/>
        <v>0</v>
      </c>
      <c r="AN19" s="823">
        <f>IF(ISNUMBER(Datos!K19/Datos!J19),Datos!K19/Datos!J19," - ")</f>
        <v>0.90695309520783018</v>
      </c>
      <c r="AO19" s="823">
        <f>IF(ISNUMBER(FIND("06",Criterios!A8,1)),(IF(ISNUMBER(((Datos!R19/Datos!Q19)*11)/factor_trimestre),((Datos!R19/Datos!Q19)*11)/factor_trimestre," - ")),(IF(ISNUMBER(((Datos!L19/Datos!K19)*11)/factor_trimestre),((Datos!L19/Datos!K19)*11)/factor_trimestre," - ")))</f>
        <v>4.6246671338472316</v>
      </c>
      <c r="AP19" s="834" t="str">
        <f>IF(ISNUMBER(Datos!CI19/Datos!CJ19),Datos!CI19/Datos!CJ19," - ")</f>
        <v xml:space="preserve"> - </v>
      </c>
      <c r="AQ19" s="834">
        <f>IF(OR(ISNUMBER(FIND("01",Criterios!A8,1)),ISNUMBER(FIND("02",Criterios!A8,1)),ISNUMBER(FIND("03",Criterios!A8,1)),ISNUMBER(FIND("04",Criterios!A8,1))),(J19-Y19+K19)/(F19-K19),(I19-Y19+K19)/(F19-K19))</f>
        <v>-1.1114276669832226</v>
      </c>
      <c r="AR19" s="834">
        <f>IF(ISNUMBER((Datos!P19-Datos!Q19+O19)/(Datos!R19-Datos!P19+Datos!Q19-O19)),(Datos!P19-Datos!Q19+O19)/(Datos!R19-Datos!P19+Datos!Q19-O19)," - ")</f>
        <v>5.1446654611211576E-2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1355.6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1699.1418422250686</v>
      </c>
      <c r="G21" s="552">
        <f>IF(ISNUMBER(STDEV(G8:G18)),STDEV(G8:G18),"-")</f>
        <v>1633.9364430723735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316.80142496072023</v>
      </c>
      <c r="AK21" s="252"/>
      <c r="AL21" s="252">
        <f>IF(ISNUMBER(STDEV(AL8:AL18)),STDEV(AL8:AL18),"-")</f>
        <v>0</v>
      </c>
      <c r="AM21" s="254">
        <f>IF(ISNUMBER(STDEV(AM8:AM18)),STDEV(AM8:AM18),"-")</f>
        <v>0</v>
      </c>
      <c r="AN21" s="539">
        <f>IF(ISNUMBER(STDEV(AN8:AN18)),STDEV(AN8:AN18),"-")</f>
        <v>0</v>
      </c>
      <c r="AO21" s="540">
        <f>IF(ISNUMBER(STDEV(AO8:AO18)),STDEV(AO8:AO18),"-")</f>
        <v>2.1610642604285699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6C7l8qFwhf8e6lYKlGw6A670XJ4qxEr/waWQgkNvnDdYh3oscR1a+u7DoR22n+3hIFryZjLcZa4/jjJ0CZmPuA==" saltValue="gHkUJw6O1g/2xMIxhTJ8l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2hL3HvN2MMAPzyradQuBjXP0fZIrJWotWPLs1cUHh+f8vnfUj/t3jX2xda8y3Ptk0gCeBEwB5C2rBsWwYJj3iw==" saltValue="FU55qQjEEQAhcucrokTj7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BP4uPXDJv+YkuMVzmtHAk/AkmU2UmEHM09TQGoun7SI27NH9DbUorjzUgxFLBqJRt93AqFatchHDNNBfp3u9w==" saltValue="lV4E0jvt1b84xG7kL4VuF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ANDALUCIA</v>
      </c>
    </row>
    <row r="2" spans="1:75" ht="16.5" customHeight="1">
      <c r="C2" s="488" t="str">
        <f>Criterios!A10 &amp;"  "&amp;Criterios!B10 &amp; "  " &amp; IF(NOT(ISBLANK(Criterios!A11)),Criterios!A11 &amp;"  "&amp;Criterios!B11,"")</f>
        <v>Provincias  HUELVA  Resumenes por Partidos Judiciales  HUELVA</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0.22273307790549171</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0.15749606978152478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sWLaYHLubuHFli6y2YrVB98c8a35ZD082ISIiBrKnsFNKLkgiicnwjPwhb5WNEdVKguj0lMLO8EjqHtEqnfS2w==" saltValue="OZpEyJrV3r7d9wUmMzqI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RlTKD6/wwEIIOX4DY3i4OSonxel8SWXKQI6rCrdTUyGDVIYtcN9ySyHqldL4EbbpFkFx76Wqdx+tRUiaAhpkw==" saltValue="m46n+dWAJq2/7aPO+ObRu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ANDALUCIA</v>
      </c>
      <c r="C2" s="375"/>
      <c r="D2" s="375"/>
      <c r="E2" s="375"/>
      <c r="F2" s="375"/>
    </row>
    <row r="3" spans="1:14" ht="19.5">
      <c r="A3" s="390" t="s">
        <v>115</v>
      </c>
      <c r="B3" s="391" t="str">
        <f>Criterios!A10 &amp;"  "&amp;Criterios!B10</f>
        <v>Provincias  HUELVA</v>
      </c>
      <c r="D3" s="375"/>
      <c r="E3" s="375"/>
      <c r="F3" s="375"/>
    </row>
    <row r="4" spans="1:14" ht="13.5" thickBot="1">
      <c r="A4" s="375"/>
      <c r="B4" s="391" t="str">
        <f>Criterios!A11 &amp;"  "&amp;Criterios!B11</f>
        <v>Resumenes por Partidos Judiciales  HUELVA</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6</v>
      </c>
      <c r="C9" s="403">
        <f>IF(ISNUMBER(IF(J_V="SI",Datos!I9,Datos!I9+Datos!Y9)),IF(J_V="SI",Datos!I9,Datos!I9+Datos!Y9)," - ")</f>
        <v>5764</v>
      </c>
      <c r="D9" s="404">
        <f>IF(ISNUMBER(C9/Datos!BH9),C9/Datos!BH9," - ")</f>
        <v>960.66666666666663</v>
      </c>
      <c r="E9" s="403">
        <f>IF(ISNUMBER(IF(J_V="SI",Datos!J9,Datos!J9+Datos!Z9)),IF(J_V="SI",Datos!J9,Datos!J9+Datos!Z9)," - ")</f>
        <v>4028</v>
      </c>
      <c r="F9" s="404">
        <f>IF(ISNUMBER(E9/B9),E9/B9," - ")</f>
        <v>671.33333333333337</v>
      </c>
      <c r="G9" s="403">
        <f>IF(ISNUMBER(IF(J_V="SI",Datos!K9,Datos!K9+Datos!AA9)),IF(J_V="SI",Datos!K9,Datos!K9+Datos!AA9)," - ")</f>
        <v>3103</v>
      </c>
      <c r="H9" s="404">
        <f>IF(ISNUMBER(G9/B9),G9/B9," - ")</f>
        <v>517.16666666666663</v>
      </c>
      <c r="I9" s="403">
        <f>IF(ISNUMBER(IF(J_V="SI",Datos!L9,Datos!L9+Datos!AB9)),IF(J_V="SI",Datos!L9,Datos!L9+Datos!AB9)," - ")</f>
        <v>6689</v>
      </c>
      <c r="J9" s="404">
        <f>IF(ISNUMBER(I9/B9),I9/B9," - ")</f>
        <v>1114.8333333333333</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108</v>
      </c>
      <c r="D10" s="404">
        <f>IF(ISNUMBER(C10/Datos!BH10),C10/Datos!BH10," - ")</f>
        <v>108</v>
      </c>
      <c r="E10" s="403">
        <f>IF(ISNUMBER(Datos!J10),Datos!J10," - ")</f>
        <v>52</v>
      </c>
      <c r="F10" s="404">
        <f>IF(ISNUMBER(E10/B10),E10/B10," - ")</f>
        <v>52</v>
      </c>
      <c r="G10" s="403">
        <f>IF(ISNUMBER(Datos!K10),Datos!K10," - ")</f>
        <v>44</v>
      </c>
      <c r="H10" s="404">
        <f>IF(ISNUMBER(G10/B10),G10/B10," - ")</f>
        <v>44</v>
      </c>
      <c r="I10" s="403">
        <f>IF(ISNUMBER(Datos!L10),Datos!L10," - ")</f>
        <v>116</v>
      </c>
      <c r="J10" s="404">
        <f>IF(ISNUMBER(I10/B10),I10/B10," - ")</f>
        <v>116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2</v>
      </c>
      <c r="C11" s="403">
        <f>IF(ISNUMBER(IF(J_V="SI",Datos!I11,Datos!I11+Datos!Y11)),IF(J_V="SI",Datos!I11,Datos!I11+Datos!Y11)," - ")</f>
        <v>1303</v>
      </c>
      <c r="D11" s="404">
        <f>IF(ISNUMBER(C11/Datos!BH11),C11/Datos!BH11," - ")</f>
        <v>651.5</v>
      </c>
      <c r="E11" s="403">
        <f>IF(ISNUMBER(IF(J_V="SI",Datos!J11,Datos!J11+Datos!Z11)),IF(J_V="SI",Datos!J11,Datos!J11+Datos!Z11)," - ")</f>
        <v>812</v>
      </c>
      <c r="F11" s="404">
        <f>IF(ISNUMBER(E11/B11),E11/B11," - ")</f>
        <v>406</v>
      </c>
      <c r="G11" s="403">
        <f>IF(ISNUMBER(IF(J_V="SI",Datos!K11,Datos!K11+Datos!AA11)),IF(J_V="SI",Datos!K11,Datos!K11+Datos!AA11)," - ")</f>
        <v>768</v>
      </c>
      <c r="H11" s="404">
        <f>IF(ISNUMBER(G11/B11),G11/B11," - ")</f>
        <v>384</v>
      </c>
      <c r="I11" s="403">
        <f>IF(ISNUMBER(IF(J_V="SI",Datos!L11,Datos!L11+Datos!AB11)),IF(J_V="SI",Datos!L11,Datos!L11+Datos!AB11)," - ")</f>
        <v>1284</v>
      </c>
      <c r="J11" s="404">
        <f>IF(ISNUMBER(I11/B11),I11/B11," - ")</f>
        <v>642</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0</v>
      </c>
      <c r="C12" s="403" t="str">
        <f>IF(ISNUMBER(IF(J_V="SI",Datos!I12,Datos!I12+Datos!Y12)),IF(J_V="SI",Datos!I12,Datos!I12+Datos!Y12)," - ")</f>
        <v xml:space="preserve"> - </v>
      </c>
      <c r="D12" s="404" t="str">
        <f>IF(ISNUMBER(C12/Datos!BH12),C12/Datos!BH12," - ")</f>
        <v xml:space="preserve"> - </v>
      </c>
      <c r="E12" s="403" t="str">
        <f>IF(ISNUMBER(IF(J_V="SI",Datos!J12,Datos!J12+Datos!Z12)),IF(J_V="SI",Datos!J12,Datos!J12+Datos!Z12)," - ")</f>
        <v xml:space="preserve"> - </v>
      </c>
      <c r="F12" s="404" t="str">
        <f>IF(ISNUMBER(E12/B12),E12/B12," - ")</f>
        <v xml:space="preserve"> - </v>
      </c>
      <c r="G12" s="403" t="str">
        <f>IF(ISNUMBER(IF(J_V="SI",Datos!K12,Datos!K12+Datos!AA12)),IF(J_V="SI",Datos!K12,Datos!K12+Datos!AA12)," - ")</f>
        <v xml:space="preserve"> - </v>
      </c>
      <c r="H12" s="404" t="str">
        <f>IF(ISNUMBER(G12/B12),G12/B12," - ")</f>
        <v xml:space="preserve"> - </v>
      </c>
      <c r="I12" s="403" t="str">
        <f>IF(ISNUMBER(IF(J_V="SI",Datos!L12,Datos!L12+Datos!AB12)),IF(J_V="SI",Datos!L12,Datos!L12+Datos!AB12)," - ")</f>
        <v xml:space="preserve"> - </v>
      </c>
      <c r="J12" s="404" t="str">
        <f>IF(ISNUMBER(I12/B12),I12/B12," - ")</f>
        <v xml:space="preserve"> - </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9</v>
      </c>
      <c r="C13" s="849">
        <f>SUBTOTAL(9,C8:C12)</f>
        <v>7175</v>
      </c>
      <c r="D13" s="850" t="str">
        <f>IF(ISNUMBER(C13/Datos!BI13),C13/Datos!BI13," - ")</f>
        <v xml:space="preserve"> - </v>
      </c>
      <c r="E13" s="849">
        <f>SUBTOTAL(9,E8:E12)</f>
        <v>4892</v>
      </c>
      <c r="F13" s="850">
        <f>IF(ISNUMBER(E13/B13),E13/B13," - ")</f>
        <v>543.55555555555554</v>
      </c>
      <c r="G13" s="849">
        <f>SUBTOTAL(9,G8:G12)</f>
        <v>3915</v>
      </c>
      <c r="H13" s="850">
        <f>IF(ISNUMBER(G13/B13),G13/B13," - ")</f>
        <v>435</v>
      </c>
      <c r="I13" s="849">
        <f>SUBTOTAL(9,I8:I12)</f>
        <v>8089</v>
      </c>
      <c r="J13" s="850">
        <f>IF(ISNUMBER(I13/B13),I13/B13," - ")</f>
        <v>898.77777777777783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5</v>
      </c>
      <c r="C15" s="403">
        <f>IF(ISNUMBER(IF(D_I="SI",Datos!I15,Datos!I15+Datos!AC15)),IF(D_I="SI",Datos!I15,Datos!I15+Datos!AC15)," - ")</f>
        <v>3000</v>
      </c>
      <c r="D15" s="404">
        <f>IF(ISNUMBER(C15/Datos!BH15),C15/Datos!BH15," - ")</f>
        <v>600</v>
      </c>
      <c r="E15" s="403">
        <f>IF(ISNUMBER(IF(D_I="SI",Datos!J15,Datos!J15+Datos!AD15)),IF(D_I="SI",Datos!J15,Datos!J15+Datos!AD15)," - ")</f>
        <v>2954</v>
      </c>
      <c r="F15" s="404">
        <f>IF(ISNUMBER(E15/B15),E15/B15," - ")</f>
        <v>590.79999999999995</v>
      </c>
      <c r="G15" s="403">
        <f>IF(ISNUMBER(IF(D_I="SI",Datos!K15,Datos!K15+Datos!AE15)),IF(D_I="SI",Datos!K15,Datos!K15+Datos!AE15)," - ")</f>
        <v>3161</v>
      </c>
      <c r="H15" s="404">
        <f>IF(ISNUMBER(G15/B15),G15/B15," - ")</f>
        <v>632.20000000000005</v>
      </c>
      <c r="I15" s="403">
        <f>IF(ISNUMBER(IF(D_I="SI",Datos!L15,Datos!L15+Datos!AF15)),IF(D_I="SI",Datos!L15,Datos!L15+Datos!AF15)," - ")</f>
        <v>2844</v>
      </c>
      <c r="J15" s="404">
        <f>IF(ISNUMBER(I15/B15),I15/B15," - ")</f>
        <v>568.79999999999995</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0</v>
      </c>
      <c r="C16" s="403" t="str">
        <f>IF(ISNUMBER(IF(D_I="SI",Datos!I16,Datos!I16+Datos!AC16)),IF(D_I="SI",Datos!I16,Datos!I16+Datos!AC16)," - ")</f>
        <v xml:space="preserve"> - </v>
      </c>
      <c r="D16" s="404" t="str">
        <f>IF(ISNUMBER(C16/Datos!BH16),C16/Datos!BH16," - ")</f>
        <v xml:space="preserve"> - </v>
      </c>
      <c r="E16" s="403" t="str">
        <f>IF(ISNUMBER(IF(D_I="SI",Datos!J16,Datos!J16+Datos!AD16)),IF(D_I="SI",Datos!J16,Datos!J16+Datos!AD16)," - ")</f>
        <v xml:space="preserve"> - </v>
      </c>
      <c r="F16" s="404" t="str">
        <f>IF(ISNUMBER(E16/B16),E16/B16," - ")</f>
        <v xml:space="preserve"> - </v>
      </c>
      <c r="G16" s="403" t="str">
        <f>IF(ISNUMBER(IF(D_I="SI",Datos!K16,Datos!K16+Datos!AE16)),IF(D_I="SI",Datos!K16,Datos!K16+Datos!AE16)," - ")</f>
        <v xml:space="preserve"> - </v>
      </c>
      <c r="H16" s="404" t="str">
        <f>IF(ISNUMBER(G16/B16),G16/B16," - ")</f>
        <v xml:space="preserve"> - </v>
      </c>
      <c r="I16" s="403" t="str">
        <f>IF(ISNUMBER(IF(D_I="SI",Datos!L16,Datos!L16+Datos!AF16)),IF(D_I="SI",Datos!L16,Datos!L16+Datos!AF16)," - ")</f>
        <v xml:space="preserve"> - </v>
      </c>
      <c r="J16" s="404" t="str">
        <f>IF(ISNUMBER(I16/B16),I16/B16," - ")</f>
        <v xml:space="preserve"> - </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281</v>
      </c>
      <c r="D17" s="404">
        <f>IF(ISNUMBER(C17/Datos!BH17),C17/Datos!BH17," - ")</f>
        <v>281</v>
      </c>
      <c r="E17" s="403">
        <f>IF(ISNUMBER(IF(D_I="SI",Datos!J17,Datos!J17+Datos!AD17)),IF(D_I="SI",Datos!J17,Datos!J17+Datos!AD17)," - ")</f>
        <v>293</v>
      </c>
      <c r="F17" s="404">
        <f>IF(ISNUMBER(E17/B17),E17/B17," - ")</f>
        <v>293</v>
      </c>
      <c r="G17" s="403">
        <f>IF(ISNUMBER(IF(D_I="SI",Datos!K17,Datos!K17+Datos!AE17)),IF(D_I="SI",Datos!K17,Datos!K17+Datos!AE17)," - ")</f>
        <v>306</v>
      </c>
      <c r="H17" s="404">
        <f>IF(ISNUMBER(G17/B17),G17/B17," - ")</f>
        <v>306</v>
      </c>
      <c r="I17" s="403">
        <f>IF(ISNUMBER(IF(D_I="SI",Datos!L17,Datos!L17+Datos!AF17)),IF(D_I="SI",Datos!L17,Datos!L17+Datos!AF17)," - ")</f>
        <v>268</v>
      </c>
      <c r="J17" s="404">
        <f>IF(ISNUMBER(I17/B17),I17/B17," - ")</f>
        <v>268</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6</v>
      </c>
      <c r="C18" s="849">
        <f>SUBTOTAL(9,C14:C17)</f>
        <v>3281</v>
      </c>
      <c r="D18" s="850" t="str">
        <f>IF(ISNUMBER(C18/Datos!BI18),C18/Datos!BI18," - ")</f>
        <v xml:space="preserve"> - </v>
      </c>
      <c r="E18" s="849">
        <f>SUBTOTAL(9,E14:E17)</f>
        <v>3247</v>
      </c>
      <c r="F18" s="850">
        <f>IF(ISNUMBER(E18/B18),E18/B18," - ")</f>
        <v>541.16666666666663</v>
      </c>
      <c r="G18" s="849">
        <f>SUBTOTAL(9,G14:G17)</f>
        <v>3467</v>
      </c>
      <c r="H18" s="850">
        <f>IF(ISNUMBER(G18/B18),G18/B18," - ")</f>
        <v>577.83333333333337</v>
      </c>
      <c r="I18" s="849">
        <f>SUBTOTAL(9,I14:I17)</f>
        <v>3112</v>
      </c>
      <c r="J18" s="850">
        <f>IF(ISNUMBER(I18/B18),I18/B18," - ")</f>
        <v>518.66666666666663</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14</v>
      </c>
      <c r="C19" s="794">
        <f>SUBTOTAL(9,C9:C18)</f>
        <v>10456</v>
      </c>
      <c r="D19" s="795" t="str">
        <f>IF(ISNUMBER(C19/Datos!BI19),C19/Datos!BI19," - ")</f>
        <v xml:space="preserve"> - </v>
      </c>
      <c r="E19" s="794">
        <f>SUBTOTAL(9,E9:E18)</f>
        <v>8139</v>
      </c>
      <c r="F19" s="795">
        <f>IF(ISNUMBER(E19/B19),E19/B19," - ")</f>
        <v>581.35714285714289</v>
      </c>
      <c r="G19" s="794">
        <f>SUBTOTAL(9,G9:G18)</f>
        <v>7382</v>
      </c>
      <c r="H19" s="795">
        <f>IF(ISNUMBER(G19/B19),G19/B19," - ")</f>
        <v>527.28571428571433</v>
      </c>
      <c r="I19" s="794">
        <f>SUBTOTAL(9,I9:I18)</f>
        <v>11201</v>
      </c>
      <c r="J19" s="795">
        <f>IF(ISNUMBER(I19/B19),I19/B19," - ")</f>
        <v>800.07142857142856</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heoi46ne0rg5eHsHy/We3OQtpdpN8TFlgcW02j6vcRljxej9/A1mgPFr7I8hA2c2Km3woLMchwTzyYsbOSWbYQ==" saltValue="jws2exGQIMbMNVmyORmCC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ANDALUCIA</v>
      </c>
      <c r="W1"/>
      <c r="X1"/>
    </row>
    <row r="2" spans="1:65" ht="16.5" customHeight="1">
      <c r="C2" s="488" t="str">
        <f>Criterios!A10 &amp;"  "&amp;Criterios!B10 &amp; "  " &amp; IF(NOT(ISBLANK(Criterios!A11)),Criterios!A11 &amp;"  "&amp;Criterios!B11,"")</f>
        <v>Provincias  HUELVA  Resumenes por Partidos Judiciales  HUELVA</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6</v>
      </c>
      <c r="B9" s="501" t="s">
        <v>246</v>
      </c>
      <c r="C9" s="160" t="str">
        <f>Datos!A9</f>
        <v xml:space="preserve">Jdos. 1ª Instancia   </v>
      </c>
      <c r="D9" s="502"/>
      <c r="E9" s="682">
        <f>IF(ISNUMBER(Datos!AQ9),Datos!AQ9," - ")</f>
        <v>6</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1</v>
      </c>
      <c r="F10" s="683">
        <f>IF(ISNUMBER(Datos!L10+Datos!K10-Datos!J10),Datos!L10+Datos!K10-Datos!J10," - ")</f>
        <v>108</v>
      </c>
      <c r="G10" s="684">
        <f>IF(ISNUMBER(Datos!I10),Datos!I10," - ")</f>
        <v>108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27</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44</v>
      </c>
      <c r="AC10" s="683" t="str">
        <f>IF(ISNUMBER(IF(D_I="SI",DatosP!K17,DatosP!K17+DatosP!AE17)),IF(D_I="SI",DatosP!K17,DatosP!K17+DatosP!AE17)," - ")</f>
        <v xml:space="preserve"> - </v>
      </c>
      <c r="AD10" s="685"/>
      <c r="AE10" s="685"/>
      <c r="AF10" s="688">
        <f>IF(ISNUMBER(Datos!L10),Datos!L10,"-")</f>
        <v>116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23</v>
      </c>
      <c r="AM10" s="690">
        <f>IF(ISNUMBER(Datos!N10+DatosP!N17),Datos!N10+DatosP!N17," - ")</f>
        <v>15</v>
      </c>
      <c r="AN10" s="690">
        <f>IF(ISNUMBER(Datos!BW10+DatosP!BW17),Datos!BW10+DatosP!BW17," - ")</f>
        <v>0</v>
      </c>
      <c r="AO10" s="691">
        <f>IF(ISNUMBER(Datos!BX10+DatosP!BX17),Datos!BX10+DatosP!BX17," - ")</f>
        <v>0</v>
      </c>
      <c r="AP10" s="693">
        <f>IF(ISNUMBER(((Datos!L10/Datos!K10)*11)/factor_trimestre),((Datos!L10/Datos!K10)*11)/factor_trimestre," - ")</f>
        <v>7.9090909090909092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2</v>
      </c>
      <c r="B11" s="507" t="s">
        <v>246</v>
      </c>
      <c r="C11" s="7" t="str">
        <f>Datos!A11</f>
        <v xml:space="preserve">Jdos. Familia                                   </v>
      </c>
      <c r="D11" s="508"/>
      <c r="E11" s="682">
        <f>IF(ISNUMBER(Datos!AQ11),Datos!AQ11," - ")</f>
        <v>2</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0</v>
      </c>
      <c r="B12" s="507" t="s">
        <v>246</v>
      </c>
      <c r="C12" s="7" t="str">
        <f>Datos!A12</f>
        <v xml:space="preserve">Jdos. 1ª Instª. e Instr.                        </v>
      </c>
      <c r="D12" s="508"/>
      <c r="E12" s="682">
        <f>IF(ISNUMBER(Datos!AQ12),Datos!AQ12," - ")</f>
        <v>0</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0</v>
      </c>
      <c r="O12" s="685">
        <f>IF(ISNUMBER(DatosP!P16),DatosP!P16,0)</f>
        <v>0</v>
      </c>
      <c r="P12" s="685" t="str">
        <f>IF(ISNUMBER(DatosP!DE16),DatosP!DE16," - ")</f>
        <v xml:space="preserve"> - </v>
      </c>
      <c r="Q12" s="686"/>
      <c r="R12" s="686"/>
      <c r="S12" s="685" t="str">
        <f>IF(ISNUMBER(Datos!AS12*(2500/380)+DatosP!AS16),Datos!AS12*(2500/380)+DatosP!AS16," - ")</f>
        <v xml:space="preserve"> - </v>
      </c>
      <c r="T12" s="685" t="str">
        <f>IF(ISNUMBER(DatosP!AS16/E12),DatosP!AS16/E12," - ")</f>
        <v xml:space="preserve"> - </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t="str">
        <f>IF(ISNUMBER(Datos!Q12),Datos!Q12," - ")</f>
        <v xml:space="preserve"> - </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t="str">
        <f>IF(ISNUMBER(Datos!R12),Datos!R12," - ")</f>
        <v xml:space="preserve"> - </v>
      </c>
      <c r="AI12" s="689" t="str">
        <f>IF(ISNUMBER(DatosP!R16),DatosP!R16," - ")</f>
        <v xml:space="preserve"> - </v>
      </c>
      <c r="AJ12" s="682">
        <f>IF(ISNUMBER(Datos!BV12+DatosP!BV16),Datos!BV12+DatosP!BV16," - ")</f>
        <v>0</v>
      </c>
      <c r="AK12" s="672" t="str">
        <f>IF(ISNUMBER(Datos!DV12),Datos!DV12," - ")</f>
        <v xml:space="preserve"> - </v>
      </c>
      <c r="AL12" s="683" t="str">
        <f>IF(ISNUMBER(Datos!M12+DatosP!M16),Datos!M12+DatosP!M16," - ")</f>
        <v xml:space="preserve"> - </v>
      </c>
      <c r="AM12" s="690" t="str">
        <f>IF(ISNUMBER(Datos!N12+DatosP!N16),Datos!N12+DatosP!N16," - ")</f>
        <v xml:space="preserve"> - </v>
      </c>
      <c r="AN12" s="690">
        <f>IF(ISNUMBER(Datos!BW12+DatosP!BW16),Datos!BW12+DatosP!BW16," - ")</f>
        <v>0</v>
      </c>
      <c r="AO12" s="691">
        <f>IF(ISNUMBER(Datos!BX12+DatosP!BX16),Datos!BX12+DatosP!BX16," - ")</f>
        <v>0</v>
      </c>
      <c r="AP12" s="693" t="str">
        <f>IF(ISNUMBER(((IF(J_V="SI",Datos!L12/Datos!K12,(Datos!L12+Datos!AB12)/(Datos!K12+Datos!AA12)))*11)/factor_trimestre),((IF(J_V="SI",Datos!L12/Datos!K12,(Datos!L12+Datos!AB12)/(Datos!K12+Datos!AA12)))*11)/factor_trimestre," - ")</f>
        <v xml:space="preserve"> - </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t="str">
        <f>IF(ISNUMBER((Datos!P12-Datos!Q12+Datos!DE12)/(Datos!R12-Datos!P12+Datos!Q12-Datos!DE12)),(Datos!P12-Datos!Q12+Datos!DE12)/(Datos!R12-Datos!P12+Datos!Q12-Datos!DE12)," - ")</f>
        <v xml:space="preserve"> - </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9</v>
      </c>
      <c r="F13" s="938">
        <f t="shared" si="0"/>
        <v>108</v>
      </c>
      <c r="G13" s="938">
        <f t="shared" si="0"/>
        <v>108</v>
      </c>
      <c r="H13" s="938">
        <f t="shared" si="0"/>
        <v>0</v>
      </c>
      <c r="I13" s="940">
        <f t="shared" si="0"/>
        <v>0</v>
      </c>
      <c r="J13" s="939">
        <f t="shared" si="0"/>
        <v>0</v>
      </c>
      <c r="K13" s="939">
        <f t="shared" si="0"/>
        <v>0</v>
      </c>
      <c r="L13" s="941">
        <f t="shared" si="0"/>
        <v>0</v>
      </c>
      <c r="M13" s="941">
        <f t="shared" si="0"/>
        <v>0</v>
      </c>
      <c r="N13" s="939">
        <f t="shared" si="0"/>
        <v>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44</v>
      </c>
      <c r="AC13" s="939">
        <f t="shared" si="1"/>
        <v>0</v>
      </c>
      <c r="AD13" s="939">
        <f t="shared" si="1"/>
        <v>0</v>
      </c>
      <c r="AE13" s="939">
        <f t="shared" si="1"/>
        <v>0</v>
      </c>
      <c r="AF13" s="939">
        <f t="shared" si="1"/>
        <v>116</v>
      </c>
      <c r="AG13" s="939">
        <f t="shared" si="1"/>
        <v>0</v>
      </c>
      <c r="AH13" s="939">
        <f t="shared" si="1"/>
        <v>0</v>
      </c>
      <c r="AI13" s="939">
        <f t="shared" si="1"/>
        <v>0</v>
      </c>
      <c r="AJ13" s="939">
        <f t="shared" si="1"/>
        <v>0</v>
      </c>
      <c r="AK13" s="939">
        <f t="shared" si="1"/>
        <v>0</v>
      </c>
      <c r="AL13" s="939">
        <f t="shared" si="1"/>
        <v>23</v>
      </c>
      <c r="AM13" s="939">
        <f t="shared" si="1"/>
        <v>15</v>
      </c>
      <c r="AN13" s="939">
        <f t="shared" si="1"/>
        <v>0</v>
      </c>
      <c r="AO13" s="939">
        <f t="shared" si="1"/>
        <v>0</v>
      </c>
      <c r="AP13" s="944">
        <f>IF(ISNUMBER(((Datos!L13/Datos!K13)*11)/factor_trimestre),((Datos!L13/Datos!K13)*11)/factor_trimestre," - ")</f>
        <v>6.4506543075245375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-0.40740740740740738</v>
      </c>
      <c r="AU13" s="939" t="str">
        <f>IF(ISNUMBER((DatosP!#REF!-DatosP!#REF!+DatosP!#REF!)/(DatosP!#REF!+DatosP!#REF!-DatosP!#REF!-DatosP!#REF!)),(DatosP!#REF!-DatosP!#REF!+DatosP!#REF!)/(DatosP!#REF!+DatosP!#REF!-DatosP!#REF!-DatosP!#REF!)," - ")</f>
        <v xml:space="preserve"> - </v>
      </c>
      <c r="AV13" s="945">
        <f>SUBTOTAL(9,AV9:AV12)</f>
        <v>0</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5</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0</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2.6928179982693972</v>
      </c>
      <c r="AQ18" s="944">
        <f>IF(ISNUMBER(((Datos!M18/Datos!L18)*11)/factor_trimestre),((Datos!M18/Datos!L18)*11)/factor_trimestre," - ")</f>
        <v>0.46465295629820053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0.11547911547911548</v>
      </c>
      <c r="AW18" s="946">
        <f>IF(ISNUMBER((Datos!Q18-Datos!R18)/(Datos!S18-Datos!Q18+Datos!R18)),(Datos!Q18-Datos!R18)/(Datos!S18-Datos!Q18+Datos!R18)," - ")</f>
        <v>-9.2194025056215864E-2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9</v>
      </c>
      <c r="F19" s="951">
        <f t="shared" si="4"/>
        <v>108</v>
      </c>
      <c r="G19" s="951">
        <f t="shared" si="4"/>
        <v>108</v>
      </c>
      <c r="H19" s="951">
        <f t="shared" si="4"/>
        <v>0</v>
      </c>
      <c r="I19" s="952">
        <f t="shared" si="4"/>
        <v>0</v>
      </c>
      <c r="J19" s="953">
        <f t="shared" si="4"/>
        <v>0</v>
      </c>
      <c r="K19" s="953">
        <f t="shared" si="4"/>
        <v>0</v>
      </c>
      <c r="L19" s="953">
        <f t="shared" si="4"/>
        <v>0</v>
      </c>
      <c r="M19" s="953">
        <f t="shared" si="4"/>
        <v>0</v>
      </c>
      <c r="N19" s="952">
        <f t="shared" si="4"/>
        <v>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44</v>
      </c>
      <c r="AC19" s="957">
        <f t="shared" si="5"/>
        <v>0</v>
      </c>
      <c r="AD19" s="957">
        <f t="shared" si="5"/>
        <v>0</v>
      </c>
      <c r="AE19" s="957">
        <f t="shared" si="5"/>
        <v>0</v>
      </c>
      <c r="AF19" s="958">
        <f t="shared" si="5"/>
        <v>116</v>
      </c>
      <c r="AG19" s="958">
        <f t="shared" si="5"/>
        <v>0</v>
      </c>
      <c r="AH19" s="958">
        <f t="shared" si="5"/>
        <v>0</v>
      </c>
      <c r="AI19" s="958">
        <f t="shared" si="5"/>
        <v>0</v>
      </c>
      <c r="AJ19" s="959">
        <f t="shared" si="5"/>
        <v>0</v>
      </c>
      <c r="AK19" s="959">
        <f t="shared" si="5"/>
        <v>0</v>
      </c>
      <c r="AL19" s="951">
        <f t="shared" si="5"/>
        <v>23</v>
      </c>
      <c r="AM19" s="951">
        <f t="shared" si="5"/>
        <v>15</v>
      </c>
      <c r="AN19" s="951">
        <f t="shared" si="5"/>
        <v>0</v>
      </c>
      <c r="AO19" s="951">
        <f t="shared" si="5"/>
        <v>0</v>
      </c>
      <c r="AP19" s="951">
        <f>IF(ISNUMBER(((Datos!L19/Datos!K19)*11)/factor_trimestre),((Datos!L19/Datos!K19)*11)/factor_trimestre," - ")</f>
        <v>4.6246671338472316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-0.40740740740740738</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5.1446654611211576E-2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72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3.687817782917155</v>
      </c>
      <c r="F21" s="736">
        <f>IF(ISNUMBER(STDEV(F8:F18)),STDEV(F8:F18),"-")</f>
        <v>62.353829072479584</v>
      </c>
      <c r="G21" s="737">
        <f>IF(ISNUMBER(STDEV(G8:G18)),STDEV(G8:G18),"-")</f>
        <v>62.353829072479584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25.40341184434353</v>
      </c>
      <c r="AC21" s="738">
        <f>IF(ISNUMBER(STDEV(AC8:AC18)),STDEV(AC8:AC18),"-")</f>
        <v>0</v>
      </c>
      <c r="AD21" s="741"/>
      <c r="AE21" s="741"/>
      <c r="AF21" s="741"/>
      <c r="AG21" s="741"/>
      <c r="AH21" s="741"/>
      <c r="AI21" s="741"/>
      <c r="AJ21" s="742">
        <f>IF(ISNUMBER(STDEV(AJ8:AJ18)),STDEV(AJ8:AJ18),"-")</f>
        <v>0</v>
      </c>
      <c r="AK21" s="744"/>
      <c r="AL21" s="736">
        <f>IF(ISNUMBER(STDEV(AL8:AL18)),STDEV(AL8:AL18),"-")</f>
        <v>13.279056191361391</v>
      </c>
      <c r="AM21" s="736"/>
      <c r="AN21" s="736">
        <f>IF(ISNUMBER(STDEV(AN8:AN18)),STDEV(AN8:AN18),"-")</f>
        <v>0</v>
      </c>
      <c r="AO21" s="742">
        <f>IF(ISNUMBER(STDEV(AO8:AO18)),STDEV(AO8:AO18),"-")</f>
        <v>0</v>
      </c>
      <c r="AP21" s="779">
        <f>IF(ISNUMBER(STDEV(AP8:AP18)),STDEV(AP8:AP18),"-")</f>
        <v>2.6912783247654843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uulUP5c9OSGD1C6qSEG0EcPiniTxNF/SSj80/Shi8y1MuQBFpci18NrAxoJ8Bhvslan81X1bhKwmVjTt5ZOhzA==" saltValue="7Lem/on9yduy6KWyDbBE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HUELVA</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6</v>
      </c>
      <c r="D9" s="403">
        <f>Datos!BK9</f>
        <v>0</v>
      </c>
      <c r="E9" s="403">
        <f>Datos!AQ9</f>
        <v>6</v>
      </c>
      <c r="F9" s="404">
        <f>IF(ISNUMBER(E9/Datos!BH9),E9/Datos!BH9," - ")</f>
        <v>1</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2</v>
      </c>
      <c r="D11" s="403">
        <f>Datos!BK11</f>
        <v>0</v>
      </c>
      <c r="E11" s="403">
        <f>Datos!AQ11</f>
        <v>2</v>
      </c>
      <c r="F11" s="404">
        <f>IF(ISNUMBER(E11/Datos!BH11),E11/Datos!BH11," - ")</f>
        <v>1</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0</v>
      </c>
      <c r="D12" s="403">
        <f>Datos!BK12</f>
        <v>0</v>
      </c>
      <c r="E12" s="403">
        <f>Datos!AQ12</f>
        <v>0</v>
      </c>
      <c r="F12" s="404" t="str">
        <f>IF(ISNUMBER(E12/Datos!BH12),E12/Datos!BH12," - ")</f>
        <v xml:space="preserve"> - </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5</v>
      </c>
      <c r="D15" s="403">
        <f>Datos!BK15</f>
        <v>0</v>
      </c>
      <c r="E15" s="403">
        <f>Datos!AQ15</f>
        <v>5</v>
      </c>
      <c r="F15" s="404">
        <f>IF(ISNUMBER(E15/Datos!BH15),E15/Datos!BH15," - ")</f>
        <v>1</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0</v>
      </c>
      <c r="D16" s="403">
        <f>Datos!BK16</f>
        <v>0</v>
      </c>
      <c r="E16" s="403">
        <f>Datos!AQ16</f>
        <v>0</v>
      </c>
      <c r="F16" s="404" t="str">
        <f>IF(ISNUMBER(E16/Datos!BH16),E16/Datos!BH16," - ")</f>
        <v xml:space="preserve"> - </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z0hDlwjFcM9d1Vq8nalAMGW3wspwZKnV2IMTZf3ykruhiBQqTdZaM5nRWECINqJ5MzpoL9Jix16AIO4Ei+6j6g==" saltValue="n5jcS4A9r3oq4B7nFYnk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ANDALUCIA</v>
      </c>
      <c r="C2" s="391"/>
    </row>
    <row r="3" spans="1:9" ht="19.5">
      <c r="A3" s="425" t="s">
        <v>11</v>
      </c>
      <c r="B3" s="391" t="str">
        <f>Criterios!A10 &amp;"  "&amp;Criterios!B10</f>
        <v>Provincias  HUELVA</v>
      </c>
      <c r="C3" s="391"/>
      <c r="D3" s="425"/>
    </row>
    <row r="4" spans="1:9" ht="13.5" thickBot="1">
      <c r="B4" s="391" t="str">
        <f>Criterios!A11 &amp;"  "&amp;Criterios!B11</f>
        <v>Resumenes por Partidos Judiciales  HUELVA</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6</v>
      </c>
      <c r="C9" s="410">
        <f>Datos!AQ9</f>
        <v>6</v>
      </c>
      <c r="D9" s="403">
        <f>IF(ISNUMBER(Datos!M9),Datos!M9," - ")</f>
        <v>655</v>
      </c>
      <c r="E9" s="404">
        <f t="shared" ref="E9:E13" si="0">IF(ISNUMBER(D9/B9),D9/B9," - ")</f>
        <v>109.16666666666667</v>
      </c>
      <c r="F9" s="403">
        <f>IF(ISNUMBER(Datos!N9),Datos!N9," - ")</f>
        <v>1367</v>
      </c>
      <c r="G9" s="404">
        <f t="shared" ref="G9:G13" si="1">IF(ISNUMBER(F9/B9),F9/B9," - ")</f>
        <v>227.83333333333334</v>
      </c>
      <c r="H9" s="403">
        <f>IF(ISNUMBER(Datos!O9),Datos!O9," - ")</f>
        <v>1409</v>
      </c>
      <c r="I9" s="404">
        <f>IF(ISNUMBER(H9/B9),H9/B9," - ")</f>
        <v>234.83333333333334</v>
      </c>
    </row>
    <row r="10" spans="1:9">
      <c r="A10" s="402" t="str">
        <f>Datos!A10</f>
        <v>Jdos. Violencia contra la mujer</v>
      </c>
      <c r="B10" s="427">
        <f>Datos!AO10</f>
        <v>1</v>
      </c>
      <c r="C10" s="410">
        <f>Datos!AQ10</f>
        <v>1</v>
      </c>
      <c r="D10" s="403">
        <f>IF(ISNUMBER(Datos!M10),Datos!M10," - ")</f>
        <v>23</v>
      </c>
      <c r="E10" s="404">
        <f>IF(ISNUMBER(D10/B10),D10/B10," - ")</f>
        <v>23</v>
      </c>
      <c r="F10" s="403">
        <f>IF(ISNUMBER(Datos!N10),Datos!N10," - ")</f>
        <v>15</v>
      </c>
      <c r="G10" s="404">
        <f>IF(ISNUMBER(F10/B10),F10/B10," - ")</f>
        <v>15</v>
      </c>
      <c r="H10" s="403">
        <f>IF(ISNUMBER(Datos!O10),Datos!O10," - ")</f>
        <v>12</v>
      </c>
      <c r="I10" s="404">
        <f t="shared" ref="I10:I12" si="2">IF(ISNUMBER(H10/B10),H10/B10," - ")</f>
        <v>12</v>
      </c>
    </row>
    <row r="11" spans="1:9">
      <c r="A11" s="402" t="str">
        <f>Datos!A11</f>
        <v xml:space="preserve">Jdos. Familia                                   </v>
      </c>
      <c r="B11" s="427">
        <f>Datos!AO11</f>
        <v>2</v>
      </c>
      <c r="C11" s="410">
        <f>Datos!AQ11</f>
        <v>2</v>
      </c>
      <c r="D11" s="403">
        <f>IF(ISNUMBER(Datos!M11),Datos!M11," - ")</f>
        <v>194</v>
      </c>
      <c r="E11" s="404">
        <f t="shared" si="0"/>
        <v>97</v>
      </c>
      <c r="F11" s="403">
        <f>IF(ISNUMBER(Datos!N11),Datos!N11," - ")</f>
        <v>298</v>
      </c>
      <c r="G11" s="404">
        <f t="shared" si="1"/>
        <v>149</v>
      </c>
      <c r="H11" s="403">
        <f>IF(ISNUMBER(Datos!O11),Datos!O11," - ")</f>
        <v>330</v>
      </c>
      <c r="I11" s="404">
        <f t="shared" si="2"/>
        <v>165</v>
      </c>
    </row>
    <row r="12" spans="1:9" ht="13.5" thickBot="1">
      <c r="A12" s="402" t="str">
        <f>Datos!A12</f>
        <v xml:space="preserve">Jdos. 1ª Instª. e Instr.                        </v>
      </c>
      <c r="B12" s="427">
        <f>Datos!AO12</f>
        <v>0</v>
      </c>
      <c r="C12" s="410">
        <f>Datos!AQ12</f>
        <v>0</v>
      </c>
      <c r="D12" s="403" t="str">
        <f>IF(ISNUMBER(Datos!M12),Datos!M12," - ")</f>
        <v xml:space="preserve"> - </v>
      </c>
      <c r="E12" s="404" t="str">
        <f t="shared" si="0"/>
        <v xml:space="preserve"> - </v>
      </c>
      <c r="F12" s="403" t="str">
        <f>IF(ISNUMBER(Datos!N12),Datos!N12," - ")</f>
        <v xml:space="preserve"> - </v>
      </c>
      <c r="G12" s="404" t="str">
        <f t="shared" si="1"/>
        <v xml:space="preserve"> - </v>
      </c>
      <c r="H12" s="403" t="str">
        <f>IF(ISNUMBER(Datos!O12),Datos!O12," - ")</f>
        <v xml:space="preserve"> - </v>
      </c>
      <c r="I12" s="404" t="str">
        <f t="shared" si="2"/>
        <v xml:space="preserve"> - </v>
      </c>
    </row>
    <row r="13" spans="1:9" ht="14.25" thickTop="1" thickBot="1">
      <c r="A13" s="848" t="str">
        <f>Datos!A13</f>
        <v>TOTAL</v>
      </c>
      <c r="B13" s="849">
        <f>Datos!AO13</f>
        <v>9</v>
      </c>
      <c r="C13" s="851">
        <f>Datos!AR13</f>
        <v>9</v>
      </c>
      <c r="D13" s="849">
        <f>SUBTOTAL(9,D9:D12)</f>
        <v>872</v>
      </c>
      <c r="E13" s="850">
        <f t="shared" si="0"/>
        <v>96.888888888888886</v>
      </c>
      <c r="F13" s="849">
        <f>SUBTOTAL(9,F9:F12)</f>
        <v>1680</v>
      </c>
      <c r="G13" s="850">
        <f t="shared" si="1"/>
        <v>186.66666666666666</v>
      </c>
      <c r="H13" s="849">
        <f>SUBTOTAL(9,H9:H12)</f>
        <v>1751</v>
      </c>
      <c r="I13" s="850">
        <f>IF(ISNUMBER(H13/B13),H13/B13," - ")</f>
        <v>194.55555555555554</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5</v>
      </c>
      <c r="C15" s="428">
        <f>Datos!AQ15</f>
        <v>5</v>
      </c>
      <c r="D15" s="403">
        <f>IF(ISNUMBER(Datos!M15),Datos!M15," - ")</f>
        <v>433</v>
      </c>
      <c r="E15" s="404">
        <f t="shared" ref="E15:E18" si="3">IF(ISNUMBER(D15/B15),D15/B15," - ")</f>
        <v>86.6</v>
      </c>
      <c r="F15" s="403">
        <f>IF(ISNUMBER(Datos!N15),Datos!N15," - ")</f>
        <v>2070</v>
      </c>
      <c r="G15" s="404">
        <f t="shared" ref="G15:G18" si="4">IF(ISNUMBER(F15/B15),F15/B15," - ")</f>
        <v>414</v>
      </c>
      <c r="H15" s="403">
        <f>IF(ISNUMBER(Datos!O15),Datos!O15," - ")</f>
        <v>145</v>
      </c>
      <c r="I15" s="404">
        <f t="shared" ref="I15:I17" si="5">IF(ISNUMBER(H15/B15),H15/B15," - ")</f>
        <v>29</v>
      </c>
    </row>
    <row r="16" spans="1:9">
      <c r="A16" s="402" t="str">
        <f>Datos!A16</f>
        <v xml:space="preserve">Jdos. 1ª Instª. e Instr.                        </v>
      </c>
      <c r="B16" s="427">
        <f>Datos!AO16</f>
        <v>0</v>
      </c>
      <c r="C16" s="428">
        <f>Datos!AQ16</f>
        <v>0</v>
      </c>
      <c r="D16" s="403" t="str">
        <f>IF(ISNUMBER(Datos!M16),Datos!M16," - ")</f>
        <v xml:space="preserve"> - </v>
      </c>
      <c r="E16" s="404" t="str">
        <f t="shared" si="3"/>
        <v xml:space="preserve"> - </v>
      </c>
      <c r="F16" s="403" t="str">
        <f>IF(ISNUMBER(Datos!N16),Datos!N16," - ")</f>
        <v xml:space="preserve"> - </v>
      </c>
      <c r="G16" s="404" t="str">
        <f t="shared" si="4"/>
        <v xml:space="preserve"> - </v>
      </c>
      <c r="H16" s="403" t="str">
        <f>IF(ISNUMBER(Datos!O16),Datos!O16," - ")</f>
        <v xml:space="preserve"> - </v>
      </c>
      <c r="I16" s="404" t="str">
        <f t="shared" si="5"/>
        <v xml:space="preserve"> - </v>
      </c>
    </row>
    <row r="17" spans="1:9" ht="13.5" thickBot="1">
      <c r="A17" s="402" t="str">
        <f>Datos!A17</f>
        <v>Jdos. Violencia contra la mujer</v>
      </c>
      <c r="B17" s="427">
        <f>Datos!AO17</f>
        <v>1</v>
      </c>
      <c r="C17" s="428">
        <f>Datos!AQ17</f>
        <v>1</v>
      </c>
      <c r="D17" s="403">
        <f>IF(ISNUMBER(Datos!M17),Datos!M17," - ")</f>
        <v>49</v>
      </c>
      <c r="E17" s="404">
        <f>IF(ISNUMBER(D17/B17),D17/B17," - ")</f>
        <v>49</v>
      </c>
      <c r="F17" s="403">
        <f>IF(ISNUMBER(Datos!N17),Datos!N17," - ")</f>
        <v>202</v>
      </c>
      <c r="G17" s="404">
        <f>IF(ISNUMBER(F17/B17),F17/B17," - ")</f>
        <v>202</v>
      </c>
      <c r="H17" s="403">
        <f>IF(ISNUMBER(Datos!O17),Datos!O17," - ")</f>
        <v>2</v>
      </c>
      <c r="I17" s="404">
        <f t="shared" si="5"/>
        <v>2</v>
      </c>
    </row>
    <row r="18" spans="1:9" ht="14.25" thickTop="1" thickBot="1">
      <c r="A18" s="848" t="str">
        <f>Datos!A18</f>
        <v>TOTAL</v>
      </c>
      <c r="B18" s="849">
        <f>Datos!AO18</f>
        <v>6</v>
      </c>
      <c r="C18" s="851">
        <f>Datos!AR18</f>
        <v>6</v>
      </c>
      <c r="D18" s="849">
        <f>SUBTOTAL(9,D15:D17)</f>
        <v>482</v>
      </c>
      <c r="E18" s="850">
        <f t="shared" si="3"/>
        <v>80.333333333333329</v>
      </c>
      <c r="F18" s="849">
        <f>SUBTOTAL(9,F15:F17)</f>
        <v>2272</v>
      </c>
      <c r="G18" s="850">
        <f t="shared" si="4"/>
        <v>378.66666666666669</v>
      </c>
      <c r="H18" s="849">
        <f>SUBTOTAL(9,H15:H17)</f>
        <v>147</v>
      </c>
      <c r="I18" s="850">
        <f>IF(ISNUMBER(H18/B18),H18/B18," - ")</f>
        <v>24.5</v>
      </c>
    </row>
    <row r="19" spans="1:9" ht="14.25" thickTop="1" thickBot="1">
      <c r="A19" s="793" t="str">
        <f>Datos!A19</f>
        <v>TOTAL JURISDICCIONES</v>
      </c>
      <c r="B19" s="794">
        <f>Datos!AP19</f>
        <v>14</v>
      </c>
      <c r="C19" s="794">
        <f>Datos!AR19</f>
        <v>14</v>
      </c>
      <c r="D19" s="794">
        <f>SUBTOTAL(9,D8:D18)</f>
        <v>1354</v>
      </c>
      <c r="E19" s="795">
        <f>IF(ISNUMBER(D19/B19),D19/B19," - ")</f>
        <v>96.714285714285708</v>
      </c>
      <c r="F19" s="794">
        <f>SUBTOTAL(9,F8:F18)</f>
        <v>3952</v>
      </c>
      <c r="G19" s="795">
        <f>IF(ISNUMBER(F19/B19),F19/B19," - ")</f>
        <v>282.28571428571428</v>
      </c>
      <c r="H19" s="794">
        <f>SUBTOTAL(9,H8:H18)</f>
        <v>1898</v>
      </c>
      <c r="I19" s="795">
        <f>IF(ISNUMBER(H19/B19),H19/B19," - ")</f>
        <v>135.57142857142858</v>
      </c>
    </row>
    <row r="22" spans="1:9">
      <c r="A22" s="391" t="str">
        <f>Criterios!A4</f>
        <v>Fecha Informe: 29 may. 2024</v>
      </c>
    </row>
    <row r="27" spans="1:9">
      <c r="A27" s="414"/>
    </row>
  </sheetData>
  <sheetProtection algorithmName="SHA-512" hashValue="WHi4LPGkag+X6rDY+ugmX3auEtaQyMi580O5vm6k15bbtUcgCrzq0vjKolTqQy6neAVKemSmoMCZsXNjwDghxA==" saltValue="qeQD118a62I7jDf8onDJ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HUELVA</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f>IF(ISNUMBER(Datos!P9),Datos!P9," - ")</f>
        <v>1124</v>
      </c>
      <c r="C9" s="434">
        <f>IF(ISNUMBER(Datos!Q9),Datos!Q9," - ")</f>
        <v>641</v>
      </c>
      <c r="D9" s="408">
        <f>IF(ISNUMBER(Datos!R9),Datos!R9," - ")</f>
        <v>10249</v>
      </c>
    </row>
    <row r="10" spans="1:4">
      <c r="A10" s="402" t="str">
        <f>Datos!A10</f>
        <v>Jdos. Violencia contra la mujer</v>
      </c>
      <c r="B10" s="433">
        <f>IF(ISNUMBER(Datos!P10),Datos!P10," - ")</f>
        <v>27</v>
      </c>
      <c r="C10" s="434">
        <f>IF(ISNUMBER(Datos!Q10),Datos!Q10," - ")</f>
        <v>21</v>
      </c>
      <c r="D10" s="408">
        <f>IF(ISNUMBER(Datos!R10),Datos!R10," - ")</f>
        <v>109</v>
      </c>
    </row>
    <row r="11" spans="1:4">
      <c r="A11" s="402" t="str">
        <f>Datos!A11</f>
        <v xml:space="preserve">Jdos. Familia                                   </v>
      </c>
      <c r="B11" s="433">
        <f>IF(ISNUMBER(Datos!P11),Datos!P11," - ")</f>
        <v>107</v>
      </c>
      <c r="C11" s="434">
        <f>IF(ISNUMBER(Datos!Q11),Datos!Q11," - ")</f>
        <v>74</v>
      </c>
      <c r="D11" s="408">
        <f>IF(ISNUMBER(Datos!R11),Datos!R11," - ")</f>
        <v>817</v>
      </c>
    </row>
    <row r="12" spans="1:4" ht="13.5" thickBot="1">
      <c r="A12" s="402" t="str">
        <f>Datos!A12</f>
        <v xml:space="preserve">Jdos. 1ª Instª. e Instr.                        </v>
      </c>
      <c r="B12" s="433" t="str">
        <f>IF(ISNUMBER(Datos!P12),Datos!P12," - ")</f>
        <v xml:space="preserve"> - </v>
      </c>
      <c r="C12" s="434" t="str">
        <f>IF(ISNUMBER(Datos!Q12),Datos!Q12," - ")</f>
        <v xml:space="preserve"> - </v>
      </c>
      <c r="D12" s="408" t="str">
        <f>IF(ISNUMBER(Datos!R12),Datos!R12," - ")</f>
        <v xml:space="preserve"> - </v>
      </c>
    </row>
    <row r="13" spans="1:4" ht="14.25" thickTop="1" thickBot="1">
      <c r="A13" s="848" t="str">
        <f>Datos!A13</f>
        <v>TOTAL</v>
      </c>
      <c r="B13" s="849">
        <f>SUBTOTAL(9,B9:B12)</f>
        <v>1258</v>
      </c>
      <c r="C13" s="853">
        <f>SUBTOTAL(9,C9:C12)</f>
        <v>736</v>
      </c>
      <c r="D13" s="851">
        <f>SUBTOTAL(9,D9:D12)</f>
        <v>11175</v>
      </c>
    </row>
    <row r="14" spans="1:4" ht="13.5" thickTop="1">
      <c r="A14" s="396" t="str">
        <f>Datos!A14</f>
        <v xml:space="preserve">Jurisdicción Penal ( 2 ):                      </v>
      </c>
      <c r="B14" s="406"/>
      <c r="C14" s="435"/>
      <c r="D14" s="408"/>
    </row>
    <row r="15" spans="1:4">
      <c r="A15" s="402" t="str">
        <f>Datos!A15</f>
        <v xml:space="preserve">Jdos. Instrucción                               </v>
      </c>
      <c r="B15" s="433">
        <f>IF(ISNUMBER(Datos!P15),Datos!P15," - ")</f>
        <v>214</v>
      </c>
      <c r="C15" s="434">
        <f>IF(ISNUMBER(Datos!Q15),Datos!Q15," - ")</f>
        <v>165</v>
      </c>
      <c r="D15" s="408">
        <f>IF(ISNUMBER(Datos!R15),Datos!R15," - ")</f>
        <v>444</v>
      </c>
    </row>
    <row r="16" spans="1:4">
      <c r="A16" s="402" t="str">
        <f>Datos!A16</f>
        <v xml:space="preserve">Jdos. 1ª Instª. e Instr.                        </v>
      </c>
      <c r="B16" s="433" t="str">
        <f>IF(ISNUMBER(Datos!P16),Datos!P16," - ")</f>
        <v xml:space="preserve"> - </v>
      </c>
      <c r="C16" s="434" t="str">
        <f>IF(ISNUMBER(Datos!Q16),Datos!Q16," - ")</f>
        <v xml:space="preserve"> - </v>
      </c>
      <c r="D16" s="408" t="str">
        <f>IF(ISNUMBER(Datos!R16),Datos!R16," - ")</f>
        <v xml:space="preserve"> - </v>
      </c>
    </row>
    <row r="17" spans="1:4" ht="13.5" thickBot="1">
      <c r="A17" s="402" t="str">
        <f>Datos!A17</f>
        <v>Jdos. Violencia contra la mujer</v>
      </c>
      <c r="B17" s="433">
        <f>IF(ISNUMBER(Datos!P17),Datos!P17," - ")</f>
        <v>0</v>
      </c>
      <c r="C17" s="434">
        <f>IF(ISNUMBER(Datos!Q17),Datos!Q17," - ")</f>
        <v>2</v>
      </c>
      <c r="D17" s="408">
        <f>IF(ISNUMBER(Datos!R17),Datos!R17," - ")</f>
        <v>10</v>
      </c>
    </row>
    <row r="18" spans="1:4" ht="14.25" thickTop="1" thickBot="1">
      <c r="A18" s="848" t="str">
        <f>Datos!A18</f>
        <v>TOTAL</v>
      </c>
      <c r="B18" s="849">
        <f>SUBTOTAL(9,B15:B17)</f>
        <v>214</v>
      </c>
      <c r="C18" s="853">
        <f>SUBTOTAL(9,C15:C17)</f>
        <v>167</v>
      </c>
      <c r="D18" s="851">
        <f>SUBTOTAL(9,D15:D17)</f>
        <v>454</v>
      </c>
    </row>
    <row r="19" spans="1:4" ht="16.5" customHeight="1" thickTop="1" thickBot="1">
      <c r="A19" s="793" t="str">
        <f>Datos!A19</f>
        <v>TOTAL JURISDICCIONES</v>
      </c>
      <c r="B19" s="798">
        <f>SUBTOTAL(9,B8:B18)</f>
        <v>1472</v>
      </c>
      <c r="C19" s="799">
        <f>SUBTOTAL(9,C8:C18)</f>
        <v>903</v>
      </c>
      <c r="D19" s="800">
        <f>SUBTOTAL(9,D8:D18)</f>
        <v>11629</v>
      </c>
    </row>
    <row r="20" spans="1:4" ht="7.5" customHeight="1"/>
    <row r="21" spans="1:4" ht="6" customHeight="1"/>
    <row r="22" spans="1:4">
      <c r="A22" s="391" t="str">
        <f>Criterios!A4</f>
        <v>Fecha Informe: 29 may. 2024</v>
      </c>
    </row>
    <row r="27" spans="1:4">
      <c r="A27" s="414"/>
    </row>
  </sheetData>
  <sheetProtection algorithmName="SHA-512" hashValue="kfXcTKcsPl2nF493wmzZgbZ4eaEI9X50fhjAsTYwMrW7FYhitq6No/rQwVVRozX/SZm2pl2UKx6xLo/7oKzZ0Q==" saltValue="Awy15ILMmKo6HvCoK4/4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HUELVA</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f>IF(ISNUMBER(
   IF(J_V="SI",(Datos!I9-Datos!S9)/Datos!S9,(Datos!I9+Datos!Y9-(Datos!S9+Datos!AG9))/(Datos!S9+Datos!AG9))
     ),IF(J_V="SI",(Datos!I9-Datos!S9)/Datos!S9,(Datos!I9+Datos!Y9-(Datos!S9+Datos!AG9))/(Datos!S9+Datos!AG9))," - ")</f>
        <v>-4.0931780366056575E-2</v>
      </c>
      <c r="C9" s="456">
        <f>IF(ISNUMBER(
   IF(J_V="SI",(Datos!J9-Datos!T9)/Datos!T9,(Datos!J9+Datos!Z9-(Datos!T9+Datos!AH9))/(Datos!T9+Datos!AH9))
     ),IF(J_V="SI",(Datos!J9-Datos!T9)/Datos!T9,(Datos!J9+Datos!Z9-(Datos!T9+Datos!AH9))/(Datos!T9+Datos!AH9))," - ")</f>
        <v>0.72801372801372799</v>
      </c>
      <c r="D9" s="456">
        <f>IF(ISNUMBER(
   IF(J_V="SI",(Datos!K9-Datos!U9)/Datos!U9,(Datos!K9+Datos!AA9-(Datos!U9+Datos!AI9))/(Datos!U9+Datos!AI9))
     ),IF(J_V="SI",(Datos!K9-Datos!U9)/Datos!U9,(Datos!K9+Datos!AA9-(Datos!U9+Datos!AI9))/(Datos!U9+Datos!AI9))," - ")</f>
        <v>0.12918486171761281</v>
      </c>
      <c r="E9" s="456">
        <f>IF(ISNUMBER(
   IF(J_V="SI",(Datos!L9-Datos!V9)/Datos!V9,(Datos!L9+Datos!AB9-(Datos!V9+Datos!AJ9))/(Datos!V9+Datos!AJ9))
     ),IF(J_V="SI",(Datos!L9-Datos!V9)/Datos!V9,(Datos!L9+Datos!AB9-(Datos!V9+Datos!AJ9))/(Datos!V9+Datos!AJ9))," - ")</f>
        <v>0.19595923475773289</v>
      </c>
      <c r="F9" s="456">
        <f>IF(ISNUMBER((Datos!M9-Datos!W9)/Datos!W9),(Datos!M9-Datos!W9)/Datos!W9," - ")</f>
        <v>-5.8908045977011492E-2</v>
      </c>
      <c r="G9" s="457">
        <f>IF(ISNUMBER((Datos!N9-Datos!X9)/Datos!X9),(Datos!N9-Datos!X9)/Datos!X9," - ")</f>
        <v>0.19180470793374019</v>
      </c>
      <c r="H9" s="455">
        <f>IF(ISNUMBER(((NºAsuntos!G9/NºAsuntos!E9)-Datos!BD9)/Datos!BD9),((NºAsuntos!G9/NºAsuntos!E9)-Datos!BD9)/Datos!BD9," - ")</f>
        <v>-0.3465417297259793</v>
      </c>
      <c r="I9" s="456">
        <f>IF(ISNUMBER(((NºAsuntos!I9/NºAsuntos!G9)-Datos!BE9)/Datos!BE9),((NºAsuntos!I9/NºAsuntos!G9)-Datos!BE9)/Datos!BE9," - ")</f>
        <v>5.9135023240170899E-2</v>
      </c>
      <c r="J9" s="461">
        <f>IF(ISNUMBER((('Resol  Asuntos'!D9/NºAsuntos!G9)-Datos!BF9)/Datos!BF9),(('Resol  Asuntos'!D9/NºAsuntos!G9)-Datos!BF9)/Datos!BF9," - ")</f>
        <v>-0.49427684938584898</v>
      </c>
      <c r="K9" s="462">
        <f>IF(ISNUMBER((((NºAsuntos!C9+NºAsuntos!E9)/NºAsuntos!G9)-Datos!BG9)/Datos!BG9),(((NºAsuntos!C9+NºAsuntos!E9)/NºAsuntos!G9)-Datos!BG9)/Datos!BG9," - ")</f>
        <v>3.965258182259631E-2</v>
      </c>
    </row>
    <row r="10" spans="1:11">
      <c r="A10" s="402" t="str">
        <f>Datos!A10</f>
        <v>Jdos. Violencia contra la mujer</v>
      </c>
      <c r="B10" s="455">
        <f>IF(ISNUMBER((Datos!I10-Datos!S10)/Datos!S10),(Datos!I10-Datos!S10)/Datos!S10," - ")</f>
        <v>-0.14960629921259844</v>
      </c>
      <c r="C10" s="456">
        <f>IF(ISNUMBER((Datos!J10-Datos!T10)/Datos!T10),(Datos!J10-Datos!T10)/Datos!T10," - ")</f>
        <v>0.52941176470588236</v>
      </c>
      <c r="D10" s="456">
        <f>IF(ISNUMBER((Datos!K10-Datos!U10)/Datos!U10),(Datos!K10-Datos!U10)/Datos!U10," - ")</f>
        <v>-8.3333333333333329E-2</v>
      </c>
      <c r="E10" s="456">
        <f>IF(ISNUMBER((Datos!L10-Datos!V10)/Datos!V10),(Datos!L10-Datos!V10)/Datos!V10," - ")</f>
        <v>2.6548672566371681E-2</v>
      </c>
      <c r="F10" s="456">
        <f>IF(ISNUMBER((Datos!M10-Datos!W10)/Datos!W10),(Datos!M10-Datos!W10)/Datos!W10," - ")</f>
        <v>0.53333333333333333</v>
      </c>
      <c r="G10" s="457">
        <f>IF(ISNUMBER((Datos!N10-Datos!X10)/Datos!X10),(Datos!N10-Datos!X10)/Datos!X10," - ")</f>
        <v>-6.25E-2</v>
      </c>
      <c r="H10" s="455">
        <f>IF(ISNUMBER(((NºAsuntos!G10/NºAsuntos!E10)-Datos!BD10)/Datos!BD10),((NºAsuntos!G10/NºAsuntos!E10)-Datos!BD10)/Datos!BD10," - ")</f>
        <v>-0.40064102564102566</v>
      </c>
      <c r="I10" s="456">
        <f>IF(ISNUMBER(((NºAsuntos!I10/NºAsuntos!G10)-Datos!BE10)/Datos!BE10),((NºAsuntos!I10/NºAsuntos!G10)-Datos!BE10)/Datos!BE10," - ")</f>
        <v>0.11987127916331458</v>
      </c>
      <c r="J10" s="461">
        <f>IF(ISNUMBER((('Resol  Asuntos'!D10/NºAsuntos!G10)-Datos!BF10)/Datos!BF10),(('Resol  Asuntos'!D10/NºAsuntos!G10)-Datos!BF10)/Datos!BF10," - ")</f>
        <v>0.67272727272727262</v>
      </c>
      <c r="K10" s="462">
        <f>IF(ISNUMBER((((NºAsuntos!C10+NºAsuntos!E10)/NºAsuntos!G10)-Datos!BG10)/Datos!BG10),(((NºAsuntos!C10+NºAsuntos!E10)/NºAsuntos!G10)-Datos!BG10)/Datos!BG10," - ")</f>
        <v>8.4133258046301534E-2</v>
      </c>
    </row>
    <row r="11" spans="1:11">
      <c r="A11" s="402" t="str">
        <f>Datos!A11</f>
        <v xml:space="preserve">Jdos. Familia                                   </v>
      </c>
      <c r="B11" s="455">
        <f>IF(ISNUMBER(
   IF(J_V="SI",(Datos!I11-Datos!S11)/Datos!S11,(Datos!I11+Datos!Y11-(Datos!S11+Datos!AG11))/(Datos!S11+Datos!AG11))
     ),IF(J_V="SI",(Datos!I11-Datos!S11)/Datos!S11,(Datos!I11+Datos!Y11-(Datos!S11+Datos!AG11))/(Datos!S11+Datos!AG11))," - ")</f>
        <v>-1.9563581640331076E-2</v>
      </c>
      <c r="C11" s="456">
        <f>IF(ISNUMBER(
   IF(J_V="SI",(Datos!J11-Datos!T11)/Datos!T11,(Datos!J11+Datos!Z11-(Datos!T11+Datos!AH11))/(Datos!T11+Datos!AH11))
     ),IF(J_V="SI",(Datos!J11-Datos!T11)/Datos!T11,(Datos!J11+Datos!Z11-(Datos!T11+Datos!AH11))/(Datos!T11+Datos!AH11))," - ")</f>
        <v>0.18887262079062958</v>
      </c>
      <c r="D11" s="456">
        <f>IF(ISNUMBER(
   IF(J_V="SI",(Datos!K11-Datos!U11)/Datos!U11,(Datos!K11+Datos!AA11-(Datos!U11+Datos!AI11))/(Datos!U11+Datos!AI11))
     ),IF(J_V="SI",(Datos!K11-Datos!U11)/Datos!U11,(Datos!K11+Datos!AA11-(Datos!U11+Datos!AI11))/(Datos!U11+Datos!AI11))," - ")</f>
        <v>0.33565217391304347</v>
      </c>
      <c r="E11" s="456">
        <f>IF(ISNUMBER(
   IF(J_V="SI",(Datos!L11-Datos!V11)/Datos!V11,(Datos!L11+Datos!AB11-(Datos!V11+Datos!AJ11))/(Datos!V11+Datos!AJ11))
     ),IF(J_V="SI",(Datos!L11-Datos!V11)/Datos!V11,(Datos!L11+Datos!AB11-(Datos!V11+Datos!AJ11))/(Datos!V11+Datos!AJ11))," - ")</f>
        <v>-0.10647181628392484</v>
      </c>
      <c r="F11" s="456">
        <f>IF(ISNUMBER((Datos!M11-Datos!W11)/Datos!W11),(Datos!M11-Datos!W11)/Datos!W11," - ")</f>
        <v>0.25161290322580643</v>
      </c>
      <c r="G11" s="457">
        <f>IF(ISNUMBER((Datos!N11-Datos!X11)/Datos!X11),(Datos!N11-Datos!X11)/Datos!X11," - ")</f>
        <v>0.24686192468619247</v>
      </c>
      <c r="H11" s="455">
        <f>IF(ISNUMBER(((NºAsuntos!G11/NºAsuntos!E11)-Datos!BD11)/Datos!BD11),((NºAsuntos!G11/NºAsuntos!E11)-Datos!BD11)/Datos!BD11," - ")</f>
        <v>0.12346112657956732</v>
      </c>
      <c r="I11" s="456">
        <f>IF(ISNUMBER(((NºAsuntos!I11/NºAsuntos!G11)-Datos!BE11)/Datos!BE11),((NºAsuntos!I11/NºAsuntos!G11)-Datos!BE11)/Datos!BE11," - ")</f>
        <v>-0.33101731036882392</v>
      </c>
      <c r="J11" s="461">
        <f>IF(ISNUMBER((('Resol  Asuntos'!D11/NºAsuntos!G11)-Datos!BF11)/Datos!BF11),(('Resol  Asuntos'!D11/NºAsuntos!G11)-Datos!BF11)/Datos!BF11," - ")</f>
        <v>-0.39227031032078102</v>
      </c>
      <c r="K11" s="462">
        <f>IF(ISNUMBER((((NºAsuntos!C11+NºAsuntos!E11)/NºAsuntos!G11)-Datos!BG11)/Datos!BG11),(((NºAsuntos!C11+NºAsuntos!E11)/NºAsuntos!G11)-Datos!BG11)/Datos!BG11," - ")</f>
        <v>-0.21297410847415507</v>
      </c>
    </row>
    <row r="12" spans="1:11" ht="13.5" thickBot="1">
      <c r="A12" s="402" t="str">
        <f>Datos!A12</f>
        <v xml:space="preserve">Jdos. 1ª Instª. e Instr.                        </v>
      </c>
      <c r="B12" s="455" t="str">
        <f>IF(ISNUMBER(
   IF(J_V="SI",(Datos!I12-Datos!S12)/Datos!S12,(Datos!I12+Datos!Y12-(Datos!S12+Datos!AG12))/(Datos!S12+Datos!AG12))
     ),IF(J_V="SI",(Datos!I12-Datos!S12)/Datos!S12,(Datos!I12+Datos!Y12-(Datos!S12+Datos!AG12))/(Datos!S12+Datos!AG12))," - ")</f>
        <v xml:space="preserve"> - </v>
      </c>
      <c r="C12" s="456" t="str">
        <f>IF(ISNUMBER(
   IF(J_V="SI",(Datos!J12-Datos!T12)/Datos!T12,(Datos!J12+Datos!Z12-(Datos!T12+Datos!AH12))/(Datos!T12+Datos!AH12))
     ),IF(J_V="SI",(Datos!J12-Datos!T12)/Datos!T12,(Datos!J12+Datos!Z12-(Datos!T12+Datos!AH12))/(Datos!T12+Datos!AH12))," - ")</f>
        <v xml:space="preserve"> - </v>
      </c>
      <c r="D12" s="456" t="str">
        <f>IF(ISNUMBER(
   IF(J_V="SI",(Datos!K12-Datos!U12)/Datos!U12,(Datos!K12+Datos!AA12-(Datos!U12+Datos!AI12))/(Datos!U12+Datos!AI12))
     ),IF(J_V="SI",(Datos!K12-Datos!U12)/Datos!U12,(Datos!K12+Datos!AA12-(Datos!U12+Datos!AI12))/(Datos!U12+Datos!AI12))," - ")</f>
        <v xml:space="preserve"> - </v>
      </c>
      <c r="E12" s="456" t="str">
        <f>IF(ISNUMBER(
   IF(J_V="SI",(Datos!L12-Datos!V12)/Datos!V12,(Datos!L12+Datos!AB12-(Datos!V12+Datos!AJ12))/(Datos!V12+Datos!AJ12))
     ),IF(J_V="SI",(Datos!L12-Datos!V12)/Datos!V12,(Datos!L12+Datos!AB12-(Datos!V12+Datos!AJ12))/(Datos!V12+Datos!AJ12))," - ")</f>
        <v xml:space="preserve"> - </v>
      </c>
      <c r="F12" s="456" t="str">
        <f>IF(ISNUMBER((Datos!M12-Datos!W12)/Datos!W12),(Datos!M12-Datos!W12)/Datos!W12," - ")</f>
        <v xml:space="preserve"> - </v>
      </c>
      <c r="G12" s="457" t="str">
        <f>IF(ISNUMBER((Datos!N12-Datos!X12)/Datos!X12),(Datos!N12-Datos!X12)/Datos!X12," - ")</f>
        <v xml:space="preserve"> - </v>
      </c>
      <c r="H12" s="455" t="str">
        <f>IF(ISNUMBER(((NºAsuntos!G12/NºAsuntos!E12)-Datos!BD12)/Datos!BD12),((NºAsuntos!G12/NºAsuntos!E12)-Datos!BD12)/Datos!BD12," - ")</f>
        <v xml:space="preserve"> - </v>
      </c>
      <c r="I12" s="456" t="str">
        <f>IF(ISNUMBER(((NºAsuntos!I12/NºAsuntos!G12)-Datos!BE12)/Datos!BE12),((NºAsuntos!I12/NºAsuntos!G12)-Datos!BE12)/Datos!BE12," - ")</f>
        <v xml:space="preserve"> - </v>
      </c>
      <c r="J12" s="461" t="str">
        <f>IF(ISNUMBER((('Resol  Asuntos'!D12/NºAsuntos!G12)-Datos!BF12)/Datos!BF12),(('Resol  Asuntos'!D12/NºAsuntos!G12)-Datos!BF12)/Datos!BF12," - ")</f>
        <v xml:space="preserve"> - </v>
      </c>
      <c r="K12" s="462" t="str">
        <f>IF(ISNUMBER((((NºAsuntos!C12+NºAsuntos!E12)/NºAsuntos!G12)-Datos!BG12)/Datos!BG12),(((NºAsuntos!C12+NºAsuntos!E12)/NºAsuntos!G12)-Datos!BG12)/Datos!BG12," - ")</f>
        <v xml:space="preserve"> - </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-3.8976694347709617E-2</v>
      </c>
      <c r="C13" s="855">
        <f>IF(ISNUMBER(
   IF(J_V="SI",(Datos!J13-Datos!T13)/Datos!T13,(Datos!J13+Datos!Z13-(Datos!T13+Datos!AH13))/(Datos!T13+Datos!AH13))
     ),IF(J_V="SI",(Datos!J13-Datos!T13)/Datos!T13,(Datos!J13+Datos!Z13-(Datos!T13+Datos!AH13))/(Datos!T13+Datos!AH13))," - ")</f>
        <v>0.60498687664041995</v>
      </c>
      <c r="D13" s="855">
        <f>IF(ISNUMBER(
   IF(J_V="SI",(Datos!K13-Datos!U13)/Datos!U13,(Datos!K13+Datos!AA13-(Datos!U13+Datos!AI13))/(Datos!U13+Datos!AI13))
     ),IF(J_V="SI",(Datos!K13-Datos!U13)/Datos!U13,(Datos!K13+Datos!AA13-(Datos!U13+Datos!AI13))/(Datos!U13+Datos!AI13))," - ")</f>
        <v>0.16137644615840996</v>
      </c>
      <c r="E13" s="855">
        <f>IF(ISNUMBER(
   IF(J_V="SI",(Datos!L13-Datos!V13)/Datos!V13,(Datos!L13+Datos!AB13-(Datos!V13+Datos!AJ13))/(Datos!V13+Datos!AJ13))
     ),IF(J_V="SI",(Datos!L13-Datos!V13)/Datos!V13,(Datos!L13+Datos!AB13-(Datos!V13+Datos!AJ13))/(Datos!V13+Datos!AJ13))," - ")</f>
        <v>0.13243735125297493</v>
      </c>
      <c r="F13" s="856">
        <f>IF(ISNUMBER((Datos!M13-Datos!W13)/Datos!W13),(Datos!M13-Datos!W13)/Datos!W13," - ")</f>
        <v>6.9284064665127024E-3</v>
      </c>
      <c r="G13" s="857">
        <f>IF(ISNUMBER((Datos!N13-Datos!X13)/Datos!X13),(Datos!N13-Datos!X13)/Datos!X13," - ")</f>
        <v>0.19828815977175462</v>
      </c>
      <c r="H13" s="857">
        <f>IF(ISNUMBER(((NºAsuntos!G13/NºAsuntos!E13)-Datos!BD13)/Datos!BD13),((NºAsuntos!G13/NºAsuntos!E13)-Datos!BD13)/Datos!BD13," - ")</f>
        <v>-0.27639505153498911</v>
      </c>
      <c r="I13" s="857">
        <f>IF(ISNUMBER(((NºAsuntos!I13/NºAsuntos!G13)-Datos!BE13)/Datos!BE13),((NºAsuntos!I13/NºAsuntos!G13)-Datos!BE13)/Datos!BE13," - ")</f>
        <v>-2.4917928205931535E-2</v>
      </c>
      <c r="J13" s="857">
        <f>IF(ISNUMBER((('Resol  Asuntos'!D13/NºAsuntos!G13)-Datos!BF13)/Datos!BF13),(('Resol  Asuntos'!D13/NºAsuntos!G13)-Datos!BF13)/Datos!BF13," - ")</f>
        <v>-0.46407337214888472</v>
      </c>
      <c r="K13" s="857">
        <f>IF(ISNUMBER((((NºAsuntos!C13+NºAsuntos!E13)/NºAsuntos!G13)-Datos!BG13)/Datos!BG13),(((NºAsuntos!C13+NºAsuntos!E13)/NºAsuntos!G13)-Datos!BG13)/Datos!BG13," - ")</f>
        <v>-1.1769334617032039E-2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f>IF(ISNUMBER(
   IF(D_I="SI",(Datos!I15-Datos!S15)/Datos!S15,(Datos!I15+Datos!AC15-(Datos!S15+Datos!AK15))/(Datos!S15+Datos!AK15))
     ),IF(D_I="SI",(Datos!I15-Datos!S15)/Datos!S15,(Datos!I15+Datos!AC15-(Datos!S15+Datos!AK15))/(Datos!S15+Datos!AK15))," - ")</f>
        <v>0.16822429906542055</v>
      </c>
      <c r="C15" s="456">
        <f>IF(ISNUMBER(
   IF(D_I="SI",(Datos!J15-Datos!T15)/Datos!T15,(Datos!J15+Datos!AD15-(Datos!T15+Datos!AL15))/(Datos!T15+Datos!AL15))
     ),IF(D_I="SI",(Datos!J15-Datos!T15)/Datos!T15,(Datos!J15+Datos!AD15-(Datos!T15+Datos!AL15))/(Datos!T15+Datos!AL15))," - ")</f>
        <v>-4.8018047051240735E-2</v>
      </c>
      <c r="D15" s="456">
        <f>IF(ISNUMBER(
   IF(D_I="SI",(Datos!K15-Datos!U15)/Datos!U15,(Datos!K15+Datos!AE15-(Datos!U15+Datos!AM15))/(Datos!U15+Datos!AM15))
     ),IF(D_I="SI",(Datos!K15-Datos!U15)/Datos!U15,(Datos!K15+Datos!AE15-(Datos!U15+Datos!AM15))/(Datos!U15+Datos!AM15))," - ")</f>
        <v>6.538591169531513E-2</v>
      </c>
      <c r="E15" s="456">
        <f>IF(ISNUMBER(
   IF(D_I="SI",(Datos!L15-Datos!V15)/Datos!V15,(Datos!L15+Datos!AF15-(Datos!V15+Datos!AN15))/(Datos!V15+Datos!AN15))
     ),IF(D_I="SI",(Datos!L15-Datos!V15)/Datos!V15,(Datos!L15+Datos!AF15-(Datos!V15+Datos!AN15))/(Datos!V15+Datos!AN15))," - ")</f>
        <v>3.3054849255357795E-2</v>
      </c>
      <c r="F15" s="456">
        <f>IF(ISNUMBER((Datos!M15-Datos!W15)/Datos!W15),(Datos!M15-Datos!W15)/Datos!W15," - ")</f>
        <v>3.0952380952380953E-2</v>
      </c>
      <c r="G15" s="457">
        <f>IF(ISNUMBER((Datos!N15-Datos!X15)/Datos!X15),(Datos!N15-Datos!X15)/Datos!X15," - ")</f>
        <v>0.12745098039215685</v>
      </c>
      <c r="H15" s="455">
        <f>IF(ISNUMBER(((NºAsuntos!G15/NºAsuntos!E15)-Datos!BD15)/Datos!BD15),((NºAsuntos!G15/NºAsuntos!E15)-Datos!BD15)/Datos!BD15," - ")</f>
        <v>0.11912406363932379</v>
      </c>
      <c r="I15" s="456">
        <f>IF(ISNUMBER(((NºAsuntos!I15/NºAsuntos!G15)-Datos!BE15)/Datos!BE15),((NºAsuntos!I15/NºAsuntos!G15)-Datos!BE15)/Datos!BE15," - ")</f>
        <v>-3.0346808686919788E-2</v>
      </c>
      <c r="J15" s="461">
        <f>IF(ISNUMBER((('Resol  Asuntos'!D15/NºAsuntos!G15)-Datos!BF15)/Datos!BF15),(('Resol  Asuntos'!D15/NºAsuntos!G15)-Datos!BF15)/Datos!BF15," - ")</f>
        <v>-3.2320242237989849E-2</v>
      </c>
      <c r="K15" s="462">
        <f>IF(ISNUMBER((((NºAsuntos!C15+NºAsuntos!E15)/NºAsuntos!G15)-Datos!BG15)/Datos!BG15),(((NºAsuntos!C15+NºAsuntos!E15)/NºAsuntos!G15)-Datos!BG15)/Datos!BG15," - ")</f>
        <v>-1.4532664815764335E-2</v>
      </c>
    </row>
    <row r="16" spans="1:11">
      <c r="A16" s="402" t="str">
        <f>Datos!A16</f>
        <v xml:space="preserve">Jdos. 1ª Instª. e Instr.                        </v>
      </c>
      <c r="B16" s="455" t="str">
        <f>IF(ISNUMBER(
   IF(D_I="SI",(Datos!I16-Datos!S16)/Datos!S16,(Datos!I16+Datos!AC16-(Datos!S16+Datos!AK16))/(Datos!S16+Datos!AK16))
     ),IF(D_I="SI",(Datos!I16-Datos!S16)/Datos!S16,(Datos!I16+Datos!AC16-(Datos!S16+Datos!AK16))/(Datos!S16+Datos!AK16))," - ")</f>
        <v xml:space="preserve"> - </v>
      </c>
      <c r="C16" s="456" t="str">
        <f>IF(ISNUMBER(
   IF(D_I="SI",(Datos!J16-Datos!T16)/Datos!T16,(Datos!J16+Datos!AD16-(Datos!T16+Datos!AL16))/(Datos!T16+Datos!AL16))
     ),IF(D_I="SI",(Datos!J16-Datos!T16)/Datos!T16,(Datos!J16+Datos!AD16-(Datos!T16+Datos!AL16))/(Datos!T16+Datos!AL16))," - ")</f>
        <v xml:space="preserve"> - </v>
      </c>
      <c r="D16" s="456" t="str">
        <f>IF(ISNUMBER(
   IF(D_I="SI",(Datos!K16-Datos!U16)/Datos!U16,(Datos!K16+Datos!AE16-(Datos!U16+Datos!AM16))/(Datos!U16+Datos!AM16))
     ),IF(D_I="SI",(Datos!K16-Datos!U16)/Datos!U16,(Datos!K16+Datos!AE16-(Datos!U16+Datos!AM16))/(Datos!U16+Datos!AM16))," - ")</f>
        <v xml:space="preserve"> - </v>
      </c>
      <c r="E16" s="456" t="str">
        <f>IF(ISNUMBER(
   IF(D_I="SI",(Datos!L16-Datos!V16)/Datos!V16,(Datos!L16+Datos!AF16-(Datos!V16+Datos!AN16))/(Datos!V16+Datos!AN16))
     ),IF(D_I="SI",(Datos!L16-Datos!V16)/Datos!V16,(Datos!L16+Datos!AF16-(Datos!V16+Datos!AN16))/(Datos!V16+Datos!AN16))," - ")</f>
        <v xml:space="preserve"> - </v>
      </c>
      <c r="F16" s="456" t="str">
        <f>IF(ISNUMBER((Datos!M16-Datos!W16)/Datos!W16),(Datos!M16-Datos!W16)/Datos!W16," - ")</f>
        <v xml:space="preserve"> - </v>
      </c>
      <c r="G16" s="457" t="str">
        <f>IF(ISNUMBER((Datos!N16-Datos!X16)/Datos!X16),(Datos!N16-Datos!X16)/Datos!X16," - ")</f>
        <v xml:space="preserve"> - </v>
      </c>
      <c r="H16" s="455" t="str">
        <f>IF(ISNUMBER(((NºAsuntos!G16/NºAsuntos!E16)-Datos!BD16)/Datos!BD16),((NºAsuntos!G16/NºAsuntos!E16)-Datos!BD16)/Datos!BD16," - ")</f>
        <v xml:space="preserve"> - </v>
      </c>
      <c r="I16" s="456" t="str">
        <f>IF(ISNUMBER(((NºAsuntos!I16/NºAsuntos!G16)-Datos!BE16)/Datos!BE16),((NºAsuntos!I16/NºAsuntos!G16)-Datos!BE16)/Datos!BE16," - ")</f>
        <v xml:space="preserve"> - </v>
      </c>
      <c r="J16" s="461" t="str">
        <f>IF(ISNUMBER((('Resol  Asuntos'!D16/NºAsuntos!G16)-Datos!BF16)/Datos!BF16),(('Resol  Asuntos'!D16/NºAsuntos!G16)-Datos!BF16)/Datos!BF16," - ")</f>
        <v xml:space="preserve"> - </v>
      </c>
      <c r="K16" s="462" t="str">
        <f>IF(ISNUMBER((((NºAsuntos!C16+NºAsuntos!E16)/NºAsuntos!G16)-Datos!BG16)/Datos!BG16),(((NºAsuntos!C16+NºAsuntos!E16)/NºAsuntos!G16)-Datos!BG16)/Datos!BG16," - ")</f>
        <v xml:space="preserve"> - </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8.9147286821705432E-2</v>
      </c>
      <c r="C17" s="456">
        <f>IF(ISNUMBER(
   IF(D_I="SI",(Datos!J17-Datos!T17)/Datos!T17,(Datos!J17+Datos!AD17-(Datos!T17+Datos!AL17))/(Datos!T17+Datos!AL17))
     ),IF(D_I="SI",(Datos!J17-Datos!T17)/Datos!T17,(Datos!J17+Datos!AD17-(Datos!T17+Datos!AL17))/(Datos!T17+Datos!AL17))," - ")</f>
        <v>2.4475524475524476E-2</v>
      </c>
      <c r="D17" s="456">
        <f>IF(ISNUMBER(
   IF(D_I="SI",(Datos!K17-Datos!U17)/Datos!U17,(Datos!K17+Datos!AE17-(Datos!U17+Datos!AM17))/(Datos!U17+Datos!AM17))
     ),IF(D_I="SI",(Datos!K17-Datos!U17)/Datos!U17,(Datos!K17+Datos!AE17-(Datos!U17+Datos!AM17))/(Datos!U17+Datos!AM17))," - ")</f>
        <v>5.8823529411764705E-2</v>
      </c>
      <c r="E17" s="456">
        <f>IF(ISNUMBER(
   IF(D_I="SI",(Datos!L17-Datos!V17)/Datos!V17,(Datos!L17+Datos!AF17-(Datos!V17+Datos!AN17))/(Datos!V17+Datos!AN17))
     ),IF(D_I="SI",(Datos!L17-Datos!V17)/Datos!V17,(Datos!L17+Datos!AF17-(Datos!V17+Datos!AN17))/(Datos!V17+Datos!AN17))," - ")</f>
        <v>5.0980392156862744E-2</v>
      </c>
      <c r="F17" s="456">
        <f>IF(ISNUMBER((Datos!M17-Datos!W17)/Datos!W17),(Datos!M17-Datos!W17)/Datos!W17," - ")</f>
        <v>-0.125</v>
      </c>
      <c r="G17" s="457">
        <f>IF(ISNUMBER((Datos!N17-Datos!X17)/Datos!X17),(Datos!N17-Datos!X17)/Datos!X17," - ")</f>
        <v>-4.9261083743842365E-3</v>
      </c>
      <c r="H17" s="455">
        <f>IF(ISNUMBER(((NºAsuntos!G17/NºAsuntos!E17)-Datos!BD17)/Datos!BD17),((NºAsuntos!G17/NºAsuntos!E17)-Datos!BD17)/Datos!BD17," - ")</f>
        <v>3.3527404135715796E-2</v>
      </c>
      <c r="I17" s="456">
        <f>IF(ISNUMBER(((NºAsuntos!I17/NºAsuntos!G17)-Datos!BE17)/Datos!BE17),((NºAsuntos!I17/NºAsuntos!G17)-Datos!BE17)/Datos!BE17," - ")</f>
        <v>-7.4074074074073817E-3</v>
      </c>
      <c r="J17" s="461">
        <f>IF(ISNUMBER((('Resol  Asuntos'!D17/NºAsuntos!G17)-Datos!BF17)/Datos!BF17),(('Resol  Asuntos'!D17/NºAsuntos!G17)-Datos!BF17)/Datos!BF17," - ")</f>
        <v>-0.17361111111111119</v>
      </c>
      <c r="K17" s="462">
        <f>IF(ISNUMBER((((NºAsuntos!C17+NºAsuntos!E17)/NºAsuntos!G17)-Datos!BG17)/Datos!BG17),(((NºAsuntos!C17+NºAsuntos!E17)/NºAsuntos!G17)-Datos!BG17)/Datos!BG17," - ")</f>
        <v>-3.4722222222222099E-3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0.16100495399858458</v>
      </c>
      <c r="C18" s="855">
        <f>IF(ISNUMBER(
   IF(Criterios!B14="SI",(Datos!J18-Datos!T18)/Datos!T18,(Datos!J18+Datos!AD18-(Datos!T18+Datos!AL18))/(Datos!T18+Datos!AL18))
     ),IF(Criterios!B14="SI",(Datos!J18-Datos!T18)/Datos!T18,(Datos!J18+Datos!AD18-(Datos!T18+Datos!AL18))/(Datos!T18+Datos!AL18))," - ")</f>
        <v>-4.190026556506344E-2</v>
      </c>
      <c r="D18" s="855">
        <f>IF(ISNUMBER(
   IF(Criterios!B14="SI",(Datos!K18-Datos!U18)/Datos!U18,(Datos!K18+Datos!AE18-(Datos!U18+Datos!AM18))/(Datos!U18+Datos!AM18))
     ),IF(Criterios!B14="SI",(Datos!K18-Datos!U18)/Datos!U18,(Datos!K18+Datos!AE18-(Datos!U18+Datos!AM18))/(Datos!U18+Datos!AM18))," - ")</f>
        <v>6.4803439803439805E-2</v>
      </c>
      <c r="E18" s="855">
        <f>IF(ISNUMBER(
   IF(Criterios!B14="SI",(Datos!L18-Datos!V18)/Datos!V18,(Datos!L18+Datos!AF18-(Datos!V18+Datos!AN18))/(Datos!V18+Datos!AN18))
     ),IF(Criterios!B14="SI",(Datos!L18-Datos!V18)/Datos!V18,(Datos!L18+Datos!AF18-(Datos!V18+Datos!AN18))/(Datos!V18+Datos!AN18))," - ")</f>
        <v>3.4574468085106384E-2</v>
      </c>
      <c r="F18" s="856">
        <f>IF(ISNUMBER((Datos!M18-Datos!W18)/Datos!W18),(Datos!M18-Datos!W18)/Datos!W18," - ")</f>
        <v>1.2605042016806723E-2</v>
      </c>
      <c r="G18" s="857">
        <f>IF(ISNUMBER((Datos!N18-Datos!X18)/Datos!X18),(Datos!N18-Datos!X18)/Datos!X18," - ")</f>
        <v>0.114271701814615</v>
      </c>
      <c r="H18" s="857">
        <f>IF(ISNUMBER(((NºAsuntos!G18/NºAsuntos!E18)-Datos!BD18)/Datos!BD18),((NºAsuntos!G18/NºAsuntos!E18)-Datos!BD18)/Datos!BD18," - ")</f>
        <v>0.11137014397716594</v>
      </c>
      <c r="I18" s="857">
        <f>IF(ISNUMBER(((NºAsuntos!I18/NºAsuntos!G18)-Datos!BE18)/Datos!BE18),((NºAsuntos!I18/NºAsuntos!G18)-Datos!BE18)/Datos!BE18," - ")</f>
        <v>-2.8389250624428528E-2</v>
      </c>
      <c r="J18" s="857">
        <f>IF(ISNUMBER((('Resol  Asuntos'!D18/NºAsuntos!G18)-Datos!BF18)/Datos!BF18),(('Resol  Asuntos'!D18/NºAsuntos!G18)-Datos!BF18)/Datos!BF18," - ")</f>
        <v>-4.9021627687706015E-2</v>
      </c>
      <c r="K18" s="857">
        <f>IF(ISNUMBER((((NºAsuntos!C18+NºAsuntos!E18)/NºAsuntos!G18)-Datos!BG18)/Datos!BG18),(((NºAsuntos!C18+NºAsuntos!E18)/NºAsuntos!G18)-Datos!BG18)/Datos!BG18," - ")</f>
        <v>-1.3562514836473315E-2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1.5934706568208317E-2</v>
      </c>
      <c r="C19" s="802">
        <f>IF(ISNUMBER(
   IF(J_V="SI",(Datos!J19-Datos!T19)/Datos!T19,(Datos!J19+Datos!Z19-(Datos!T19+Datos!AH19))/(Datos!T19+Datos!AH19))
     ),IF(J_V="SI",(Datos!J19-Datos!T19)/Datos!T19,(Datos!J19+Datos!Z19-(Datos!T19+Datos!AH19))/(Datos!T19+Datos!AH19))," - ")</f>
        <v>0.26440888612707786</v>
      </c>
      <c r="D19" s="802">
        <f>IF(ISNUMBER(
   IF(J_V="SI",(Datos!K19-Datos!U19)/Datos!U19,(Datos!K19+Datos!AA19-(Datos!U19+Datos!AI19))/(Datos!U19+Datos!AI19))
     ),IF(J_V="SI",(Datos!K19-Datos!U19)/Datos!U19,(Datos!K19+Datos!AA19-(Datos!U19+Datos!AI19))/(Datos!U19+Datos!AI19))," - ")</f>
        <v>0.11392787083144711</v>
      </c>
      <c r="E19" s="802">
        <f>IF(ISNUMBER(
   IF(J_V="SI",(Datos!L19-Datos!V19)/Datos!V19,(Datos!L19+Datos!AB19-(Datos!V19+Datos!AJ19))/(Datos!V19+Datos!AJ19))
     ),IF(J_V="SI",(Datos!L19-Datos!V19)/Datos!V19,(Datos!L19+Datos!AB19-(Datos!V19+Datos!AJ19))/(Datos!V19+Datos!AJ19))," - ")</f>
        <v>0.10343808491774209</v>
      </c>
      <c r="F19" s="803">
        <f>IF(ISNUMBER((Datos!M19-Datos!W19)/Datos!W19),(Datos!M19-Datos!W19)/Datos!W19," - ")</f>
        <v>8.9418777943368107E-3</v>
      </c>
      <c r="G19" s="804">
        <f>IF(ISNUMBER((Datos!N19-Datos!X19)/Datos!X19),(Datos!N19-Datos!X19)/Datos!X19," - ")</f>
        <v>0.14850334205172916</v>
      </c>
      <c r="H19" s="805">
        <f>IF(ISNUMBER((Tasas!B19-Datos!BD19)/Datos!BD19),(Tasas!B19-Datos!BD19)/Datos!BD19," - ")</f>
        <v>-0.11901293714927814</v>
      </c>
      <c r="I19" s="806">
        <f>IF(ISNUMBER((Tasas!C19-Datos!BE19)/Datos!BE19),(Tasas!C19-Datos!BE19)/Datos!BE19," - ")</f>
        <v>-9.4169346044598104E-3</v>
      </c>
      <c r="J19" s="807">
        <f>IF(ISNUMBER((Tasas!D19-Datos!BF19)/Datos!BF19),(Tasas!D19-Datos!BF19)/Datos!BF19," - ")</f>
        <v>-0.35241419357688297</v>
      </c>
      <c r="K19" s="807">
        <f>IF(ISNUMBER((Tasas!E19-Datos!BG19)/Datos!BG19),(Tasas!E19-Datos!BG19)/Datos!BG19," - ")</f>
        <v>-2.1411090227776916E-3</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GHSFXmpzRVLv7nXSStnHrP2poRvAnxZSIMrIj1yoIxBp8vsRGqSrqIfv3wKVW5nhSDU3eG9owTitLiEG8Bmgg==" saltValue="m1zeh3OCKjCmiE3O1bBHe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HUELVA</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f>IF(ISNUMBER(NºAsuntos!G9/NºAsuntos!E9),NºAsuntos!G9/NºAsuntos!E9," - ")</f>
        <v>0.77035749751737836</v>
      </c>
      <c r="C9" s="443">
        <f>IF(ISNUMBER(NºAsuntos!I9/NºAsuntos!G9),NºAsuntos!I9/NºAsuntos!G9," - ")</f>
        <v>2.1556558169513376</v>
      </c>
      <c r="D9" s="444">
        <f>IF(ISNUMBER('Resol  Asuntos'!D9/NºAsuntos!G9),'Resol  Asuntos'!D9/NºAsuntos!G9," - ")</f>
        <v>0.21108604576216564</v>
      </c>
      <c r="E9" s="445">
        <f>IF(ISNUMBER((NºAsuntos!C9+NºAsuntos!E9)/NºAsuntos!G9),(NºAsuntos!C9+NºAsuntos!E9)/NºAsuntos!G9," - ")</f>
        <v>3.1556558169513376</v>
      </c>
      <c r="G9" s="463"/>
    </row>
    <row r="10" spans="1:7">
      <c r="A10" s="402" t="str">
        <f>Datos!A10</f>
        <v>Jdos. Violencia contra la mujer</v>
      </c>
      <c r="B10" s="442">
        <f>IF(ISNUMBER(NºAsuntos!G10/NºAsuntos!E10),NºAsuntos!G10/NºAsuntos!E10," - ")</f>
        <v>0.84615384615384615</v>
      </c>
      <c r="C10" s="443">
        <f>IF(ISNUMBER(NºAsuntos!I10/NºAsuntos!G10),NºAsuntos!I10/NºAsuntos!G10," - ")</f>
        <v>2.6363636363636362</v>
      </c>
      <c r="D10" s="444">
        <f>IF(ISNUMBER('Resol  Asuntos'!D10/NºAsuntos!G10),'Resol  Asuntos'!D10/NºAsuntos!G10," - ")</f>
        <v>0.52272727272727271</v>
      </c>
      <c r="E10" s="445">
        <f>IF(ISNUMBER((NºAsuntos!C10+NºAsuntos!E10)/NºAsuntos!G10),(NºAsuntos!C10+NºAsuntos!E10)/NºAsuntos!G10," - ")</f>
        <v>3.6363636363636362</v>
      </c>
      <c r="G10" s="463"/>
    </row>
    <row r="11" spans="1:7">
      <c r="A11" s="402" t="str">
        <f>Datos!A11</f>
        <v xml:space="preserve">Jdos. Familia                                   </v>
      </c>
      <c r="B11" s="442">
        <f>IF(ISNUMBER(NºAsuntos!G11/NºAsuntos!E11),NºAsuntos!G11/NºAsuntos!E11," - ")</f>
        <v>0.94581280788177335</v>
      </c>
      <c r="C11" s="443">
        <f>IF(ISNUMBER(NºAsuntos!I11/NºAsuntos!G11),NºAsuntos!I11/NºAsuntos!G11," - ")</f>
        <v>1.671875</v>
      </c>
      <c r="D11" s="444">
        <f>IF(ISNUMBER('Resol  Asuntos'!D11/NºAsuntos!G11),'Resol  Asuntos'!D11/NºAsuntos!G11," - ")</f>
        <v>0.25260416666666669</v>
      </c>
      <c r="E11" s="445">
        <f>IF(ISNUMBER((NºAsuntos!C11+NºAsuntos!E11)/NºAsuntos!G11),(NºAsuntos!C11+NºAsuntos!E11)/NºAsuntos!G11," - ")</f>
        <v>2.75390625</v>
      </c>
      <c r="G11" s="463"/>
    </row>
    <row r="12" spans="1:7" ht="13.5" thickBot="1">
      <c r="A12" s="402" t="str">
        <f>Datos!A12</f>
        <v xml:space="preserve">Jdos. 1ª Instª. e Instr.                        </v>
      </c>
      <c r="B12" s="442" t="str">
        <f>IF(ISNUMBER(NºAsuntos!G12/NºAsuntos!E12),NºAsuntos!G12/NºAsuntos!E12," - ")</f>
        <v xml:space="preserve"> - </v>
      </c>
      <c r="C12" s="443" t="str">
        <f>IF(ISNUMBER(NºAsuntos!I12/NºAsuntos!G12),NºAsuntos!I12/NºAsuntos!G12," - ")</f>
        <v xml:space="preserve"> - </v>
      </c>
      <c r="D12" s="444" t="str">
        <f>IF(ISNUMBER('Resol  Asuntos'!D12/NºAsuntos!G12),'Resol  Asuntos'!D12/NºAsuntos!G12," - ")</f>
        <v xml:space="preserve"> - </v>
      </c>
      <c r="E12" s="445" t="str">
        <f>IF(ISNUMBER((NºAsuntos!C12+NºAsuntos!E12)/NºAsuntos!G12),(NºAsuntos!C12+NºAsuntos!E12)/NºAsuntos!G12," - ")</f>
        <v xml:space="preserve"> - </v>
      </c>
      <c r="G12" s="463"/>
    </row>
    <row r="13" spans="1:7" ht="14.25" thickTop="1" thickBot="1">
      <c r="A13" s="848" t="str">
        <f>Datos!A13</f>
        <v>TOTAL</v>
      </c>
      <c r="B13" s="858">
        <f>IF(ISNUMBER(NºAsuntos!G13/NºAsuntos!E13),NºAsuntos!G13/NºAsuntos!E13," - ")</f>
        <v>0.8002861815208504</v>
      </c>
      <c r="C13" s="859">
        <f>IF(ISNUMBER(NºAsuntos!I13/NºAsuntos!G13),NºAsuntos!I13/NºAsuntos!G13," - ")</f>
        <v>2.0661558109833971</v>
      </c>
      <c r="D13" s="860">
        <f>IF(ISNUMBER('Resol  Asuntos'!D13/NºAsuntos!G13),'Resol  Asuntos'!D13/NºAsuntos!G13," - ")</f>
        <v>0.22273307790549171</v>
      </c>
      <c r="E13" s="861">
        <f>IF(ISNUMBER((NºAsuntos!C13+NºAsuntos!E13)/NºAsuntos!G13),(NºAsuntos!C13+NºAsuntos!E13)/NºAsuntos!G13," - ")</f>
        <v>3.0822477650063855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f>IF(ISNUMBER(NºAsuntos!G15/NºAsuntos!E15),NºAsuntos!G15/NºAsuntos!E15," - ")</f>
        <v>1.0700744752877454</v>
      </c>
      <c r="C15" s="443">
        <f>IF(ISNUMBER(NºAsuntos!I15/NºAsuntos!G15),NºAsuntos!I15/NºAsuntos!G15," - ")</f>
        <v>0.89971527997469158</v>
      </c>
      <c r="D15" s="444">
        <f>IF(ISNUMBER('Resol  Asuntos'!D15/NºAsuntos!G15),'Resol  Asuntos'!D15/NºAsuntos!G15," - ")</f>
        <v>0.13698196773173046</v>
      </c>
      <c r="E15" s="445">
        <f>IF(ISNUMBER((NºAsuntos!C15+NºAsuntos!E15)/NºAsuntos!G15),(NºAsuntos!C15+NºAsuntos!E15)/NºAsuntos!G15," - ")</f>
        <v>1.8835811452072129</v>
      </c>
      <c r="G15" s="463"/>
    </row>
    <row r="16" spans="1:7">
      <c r="A16" s="402" t="str">
        <f>Datos!A16</f>
        <v xml:space="preserve">Jdos. 1ª Instª. e Instr.                        </v>
      </c>
      <c r="B16" s="442" t="str">
        <f>IF(ISNUMBER(NºAsuntos!G16/NºAsuntos!E16),NºAsuntos!G16/NºAsuntos!E16," - ")</f>
        <v xml:space="preserve"> - </v>
      </c>
      <c r="C16" s="443" t="str">
        <f>IF(ISNUMBER(NºAsuntos!I16/NºAsuntos!G16),NºAsuntos!I16/NºAsuntos!G16," - ")</f>
        <v xml:space="preserve"> - </v>
      </c>
      <c r="D16" s="444" t="str">
        <f>IF(ISNUMBER('Resol  Asuntos'!D16/NºAsuntos!G16),'Resol  Asuntos'!D16/NºAsuntos!G16," - ")</f>
        <v xml:space="preserve"> - </v>
      </c>
      <c r="E16" s="445" t="str">
        <f>IF(ISNUMBER((NºAsuntos!C16+NºAsuntos!E16)/NºAsuntos!G16),(NºAsuntos!C16+NºAsuntos!E16)/NºAsuntos!G16," - ")</f>
        <v xml:space="preserve"> - </v>
      </c>
      <c r="G16" s="463"/>
    </row>
    <row r="17" spans="1:7" ht="13.5" thickBot="1">
      <c r="A17" s="402" t="str">
        <f>Datos!A17</f>
        <v>Jdos. Violencia contra la mujer</v>
      </c>
      <c r="B17" s="442">
        <f>IF(ISNUMBER(NºAsuntos!G17/NºAsuntos!E17),NºAsuntos!G17/NºAsuntos!E17," - ")</f>
        <v>1.0443686006825939</v>
      </c>
      <c r="C17" s="443">
        <f>IF(ISNUMBER(NºAsuntos!I17/NºAsuntos!G17),NºAsuntos!I17/NºAsuntos!G17," - ")</f>
        <v>0.87581699346405228</v>
      </c>
      <c r="D17" s="444">
        <f>IF(ISNUMBER('Resol  Asuntos'!D17/NºAsuntos!G17),'Resol  Asuntos'!D17/NºAsuntos!G17," - ")</f>
        <v>0.16013071895424835</v>
      </c>
      <c r="E17" s="445">
        <f>IF(ISNUMBER((NºAsuntos!C17+NºAsuntos!E17)/NºAsuntos!G17),(NºAsuntos!C17+NºAsuntos!E17)/NºAsuntos!G17," - ")</f>
        <v>1.8758169934640523</v>
      </c>
      <c r="G17" s="463"/>
    </row>
    <row r="18" spans="1:7" ht="14.25" thickTop="1" thickBot="1">
      <c r="A18" s="848" t="str">
        <f>Datos!A18</f>
        <v>TOTAL</v>
      </c>
      <c r="B18" s="858">
        <f>IF(ISNUMBER(NºAsuntos!G18/NºAsuntos!E18),NºAsuntos!G18/NºAsuntos!E18," - ")</f>
        <v>1.0677548506313521</v>
      </c>
      <c r="C18" s="859">
        <f>IF(ISNUMBER(NºAsuntos!I18/NºAsuntos!G18),NºAsuntos!I18/NºAsuntos!G18," - ")</f>
        <v>0.89760599942313235</v>
      </c>
      <c r="D18" s="862">
        <f>IF(ISNUMBER('Resol  Asuntos'!D18/NºAsuntos!G18),'Resol  Asuntos'!D18/NºAsuntos!G18," - ")</f>
        <v>0.13902509374098646</v>
      </c>
      <c r="E18" s="861">
        <f>IF(ISNUMBER((NºAsuntos!C18+NºAsuntos!E18)/NºAsuntos!G18),(NºAsuntos!C18+NºAsuntos!E18)/NºAsuntos!G18," - ")</f>
        <v>1.8828958753965965</v>
      </c>
      <c r="G18" s="463"/>
    </row>
    <row r="19" spans="1:7" ht="15.75" customHeight="1" thickTop="1" thickBot="1">
      <c r="A19" s="793" t="str">
        <f>Datos!A19</f>
        <v>TOTAL JURISDICCIONES</v>
      </c>
      <c r="B19" s="808">
        <f>IF(ISNUMBER(NºAsuntos!G19/NºAsuntos!E19),NºAsuntos!G19/NºAsuntos!E19," - ")</f>
        <v>0.90699103083916943</v>
      </c>
      <c r="C19" s="809">
        <f>IF(ISNUMBER(NºAsuntos!I19/NºAsuntos!G19),NºAsuntos!I19/NºAsuntos!G19," - ")</f>
        <v>1.5173394743971824</v>
      </c>
      <c r="D19" s="810">
        <f>IF(ISNUMBER('Resol  Asuntos'!D19/NºAsuntos!G19),'Resol  Asuntos'!D19/NºAsuntos!G19," - ")</f>
        <v>0.18341912760769438</v>
      </c>
      <c r="E19" s="811">
        <f>IF(ISNUMBER((NºAsuntos!C19+NºAsuntos!E19)/NºAsuntos!G19),(NºAsuntos!C19+NºAsuntos!E19)/NºAsuntos!G19," - ")</f>
        <v>2.5189650501219183</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XzjMUa8dcDLFEvBYDvyA6unBXPQeEyNPwow5T8rNv0HuS9nYs3CwVcgPJtsQm4BqgKIpjnr59g0G+rijd2lxA==" saltValue="1JrrVqfeyVpu3BUfg++LX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HUELVA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6</v>
      </c>
      <c r="B9" s="177" t="s">
        <v>246</v>
      </c>
      <c r="C9" s="160" t="str">
        <f>Datos!A9</f>
        <v xml:space="preserve">Jdos. 1ª Instancia   </v>
      </c>
      <c r="D9" s="160"/>
      <c r="E9" s="1025">
        <f>IF(ISNUMBER(Datos!AQ9),Datos!AQ9," - ")</f>
        <v>6</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1124</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f>IF(ISNUMBER(Datos!Q9),Datos!Q9," - ")</f>
        <v>641</v>
      </c>
      <c r="Y9" s="334">
        <f>SUM(W9:X9)</f>
        <v>641</v>
      </c>
      <c r="Z9" s="335" t="str">
        <f>IF(ISNUMBER(Datos!CC9),Datos!CC9," - ")</f>
        <v xml:space="preserve"> - </v>
      </c>
      <c r="AA9" s="332" t="str">
        <f>IF(ISNUMBER(IF(J_V="SI",Datos!L9,Datos!L9+Datos!AB9)-IF(Monitorios="SI",Datos!CD9,0)),
                          IF(J_V="SI",Datos!L9,Datos!L9+Datos!AB9)-IF(Monitorios="SI",Datos!CD9,0),
                          " - ")</f>
        <v xml:space="preserve"> - </v>
      </c>
      <c r="AB9" s="334">
        <f>IF(ISNUMBER(Datos!R9),Datos!R9," - ")</f>
        <v>10249</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f>IF(ISNUMBER(Datos!M9),Datos!M9," - ")</f>
        <v>655</v>
      </c>
      <c r="AJ9" s="229" t="str">
        <f>IF(ISNUMBER(Datos!BW9),Datos!BW9," - ")</f>
        <v xml:space="preserve"> - </v>
      </c>
      <c r="AK9" s="228" t="str">
        <f>IF(ISNUMBER(Datos!BX9),Datos!BX9," - ")</f>
        <v xml:space="preserve"> - </v>
      </c>
      <c r="AL9" s="243">
        <f>IF(ISNUMBER(NºAsuntos!G9/NºAsuntos!E9),NºAsuntos!G9/NºAsuntos!E9," - ")</f>
        <v>0.77035749751737836</v>
      </c>
      <c r="AM9" s="260">
        <f>IF(ISNUMBER(((NºAsuntos!I9/NºAsuntos!G9)*11)/factor_trimestre),((NºAsuntos!I9/NºAsuntos!G9)*11)/factor_trimestre," - ")</f>
        <v>6.4669674508540131</v>
      </c>
      <c r="AN9" s="244">
        <f>IF(ISNUMBER('Resol  Asuntos'!D9/NºAsuntos!G9),'Resol  Asuntos'!D9/NºAsuntos!G9," - ")</f>
        <v>0.21108604576216564</v>
      </c>
      <c r="AO9" s="245">
        <f>IF(ISNUMBER((NºAsuntos!C9+NºAsuntos!E9)/NºAsuntos!G9),(NºAsuntos!C9+NºAsuntos!E9)/NºAsuntos!G9," - ")</f>
        <v>3.1556558169513376</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108</v>
      </c>
      <c r="G10" s="333">
        <f>IF(ISNUMBER(Datos!I10),Datos!I10," - ")</f>
        <v>108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27</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44</v>
      </c>
      <c r="X10" s="226">
        <f>IF(ISNUMBER(Datos!Q10),Datos!Q10," - ")</f>
        <v>21</v>
      </c>
      <c r="Y10" s="334">
        <f t="shared" ref="Y10:Y12" si="0">SUM(W10:X10)</f>
        <v>65</v>
      </c>
      <c r="Z10" s="335" t="str">
        <f>IF(ISNUMBER(Datos!CC10),Datos!CC10," - ")</f>
        <v xml:space="preserve"> - </v>
      </c>
      <c r="AA10" s="332">
        <f>IF(ISNUMBER(Datos!L10),Datos!L10,"-")</f>
        <v>116</v>
      </c>
      <c r="AB10" s="334">
        <f>IF(ISNUMBER(Datos!R10),Datos!R10," - ")</f>
        <v>109</v>
      </c>
      <c r="AC10" s="334">
        <f t="shared" ref="AC10:AC12" si="1">IF(ISNUMBER(AA10+AB10),AA10+AB10," - ")</f>
        <v>225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23</v>
      </c>
      <c r="AJ10" s="231" t="str">
        <f>IF(ISNUMBER(Datos!BW10),Datos!BW10," - ")</f>
        <v xml:space="preserve"> - </v>
      </c>
      <c r="AK10" s="232" t="str">
        <f>IF(ISNUMBER(Datos!BX10),Datos!BX10," - ")</f>
        <v xml:space="preserve"> - </v>
      </c>
      <c r="AL10" s="243">
        <f>IF(ISNUMBER(NºAsuntos!G10/NºAsuntos!E10),NºAsuntos!G10/NºAsuntos!E10," - ")</f>
        <v>0.84615384615384615</v>
      </c>
      <c r="AM10" s="260">
        <f>IF(ISNUMBER(((NºAsuntos!I10/NºAsuntos!G10)*11)/factor_trimestre),((NºAsuntos!I10/NºAsuntos!G10)*11)/factor_trimestre," - ")</f>
        <v>7.9090909090909092</v>
      </c>
      <c r="AN10" s="244">
        <f>IF(ISNUMBER('Resol  Asuntos'!D10/NºAsuntos!G10),'Resol  Asuntos'!D10/NºAsuntos!G10," - ")</f>
        <v>0.52272727272727271</v>
      </c>
      <c r="AO10" s="245">
        <f>IF(ISNUMBER((NºAsuntos!C10+NºAsuntos!E10)/NºAsuntos!G10),(NºAsuntos!C10+NºAsuntos!E10)/NºAsuntos!G10," - ")</f>
        <v>3.6363636363636362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2</v>
      </c>
      <c r="B11" s="275" t="s">
        <v>246</v>
      </c>
      <c r="C11" s="7" t="str">
        <f>Datos!A11</f>
        <v xml:space="preserve">Jdos. Familia                                   </v>
      </c>
      <c r="D11" s="7"/>
      <c r="E11" s="1025">
        <f>IF(ISNUMBER(Datos!AQ11),Datos!AQ11," - ")</f>
        <v>2</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107</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f>IF(ISNUMBER(Datos!Q11),Datos!Q11," - ")</f>
        <v>74</v>
      </c>
      <c r="Y11" s="334">
        <f t="shared" si="0"/>
        <v>74</v>
      </c>
      <c r="Z11" s="335" t="str">
        <f>IF(ISNUMBER(Datos!CC11),Datos!CC11," - ")</f>
        <v xml:space="preserve"> - </v>
      </c>
      <c r="AA11" s="332" t="str">
        <f>IF(ISNUMBER(IF(J_V="SI",Datos!L11,Datos!L11+Datos!AB11)-IF(Monitorios="SI",Datos!CD11,0)),
                          IF(J_V="SI",Datos!L11,Datos!L11+Datos!AB11)-IF(Monitorios="SI",Datos!CD11,0),
                          " - ")</f>
        <v xml:space="preserve"> - </v>
      </c>
      <c r="AB11" s="334">
        <f>IF(ISNUMBER(Datos!R11),Datos!R11," - ")</f>
        <v>817</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f>IF(ISNUMBER(Datos!M11),Datos!M11," - ")</f>
        <v>194</v>
      </c>
      <c r="AJ11" s="231" t="str">
        <f>IF(ISNUMBER(Datos!BW11),Datos!BW11," - ")</f>
        <v xml:space="preserve"> - </v>
      </c>
      <c r="AK11" s="232" t="str">
        <f>IF(ISNUMBER(Datos!BX11),Datos!BX11," - ")</f>
        <v xml:space="preserve"> - </v>
      </c>
      <c r="AL11" s="243">
        <f>IF(ISNUMBER(NºAsuntos!G11/NºAsuntos!E11),NºAsuntos!G11/NºAsuntos!E11," - ")</f>
        <v>0.94581280788177335</v>
      </c>
      <c r="AM11" s="260">
        <f>IF(ISNUMBER(((NºAsuntos!I11/NºAsuntos!G11)*11)/factor_trimestre),((NºAsuntos!I11/NºAsuntos!G11)*11)/factor_trimestre," - ")</f>
        <v>5.015625</v>
      </c>
      <c r="AN11" s="244">
        <f>IF(ISNUMBER('Resol  Asuntos'!D11/NºAsuntos!G11),'Resol  Asuntos'!D11/NºAsuntos!G11," - ")</f>
        <v>0.25260416666666669</v>
      </c>
      <c r="AO11" s="245">
        <f>IF(ISNUMBER((NºAsuntos!C11+NºAsuntos!E11)/NºAsuntos!G11),(NºAsuntos!C11+NºAsuntos!E11)/NºAsuntos!G11," - ")</f>
        <v>2.75390625</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0</v>
      </c>
      <c r="B12" s="275" t="s">
        <v>246</v>
      </c>
      <c r="C12" s="7" t="str">
        <f>Datos!A12</f>
        <v xml:space="preserve">Jdos. 1ª Instª. e Instr.                        </v>
      </c>
      <c r="D12" s="7"/>
      <c r="E12" s="1025">
        <f>IF(ISNUMBER(Datos!AQ12),Datos!AQ12," - ")</f>
        <v>0</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0</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t="str">
        <f>IF(ISNUMBER(Datos!Q12),Datos!Q12," - ")</f>
        <v xml:space="preserve"> - </v>
      </c>
      <c r="Y12" s="334">
        <f t="shared" si="0"/>
        <v>0</v>
      </c>
      <c r="Z12" s="335" t="str">
        <f>IF(ISNUMBER(Datos!CC12),Datos!CC12," - ")</f>
        <v xml:space="preserve"> - </v>
      </c>
      <c r="AA12" s="332" t="str">
        <f>IF(ISNUMBER(IF(J_V="SI",Datos!L12,Datos!L12+Datos!AB12)-IF(Monitorios="SI",Datos!CD12,0)),
                          IF(J_V="SI",Datos!L12,Datos!L12+Datos!AB12)-IF(Monitorios="SI",Datos!CD12,0),
                          " - ")</f>
        <v xml:space="preserve"> - </v>
      </c>
      <c r="AB12" s="334" t="str">
        <f>IF(ISNUMBER(Datos!R12),Datos!R12," - ")</f>
        <v xml:space="preserve"> - </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t="str">
        <f>IF(ISNUMBER(Datos!M12),Datos!M12," - ")</f>
        <v xml:space="preserve"> - </v>
      </c>
      <c r="AJ12" s="229" t="str">
        <f>IF(ISNUMBER(Datos!BW12),Datos!BW12," - ")</f>
        <v xml:space="preserve"> - </v>
      </c>
      <c r="AK12" s="228" t="str">
        <f>IF(ISNUMBER(Datos!BX12),Datos!BX12," - ")</f>
        <v xml:space="preserve"> - </v>
      </c>
      <c r="AL12" s="243" t="str">
        <f>IF(ISNUMBER(NºAsuntos!G12/NºAsuntos!E12),NºAsuntos!G12/NºAsuntos!E12," - ")</f>
        <v xml:space="preserve"> - </v>
      </c>
      <c r="AM12" s="260" t="str">
        <f>IF(ISNUMBER(((NºAsuntos!I12/NºAsuntos!G12)*11)/factor_trimestre),((NºAsuntos!I12/NºAsuntos!G12)*11)/factor_trimestre," - ")</f>
        <v xml:space="preserve"> - </v>
      </c>
      <c r="AN12" s="244" t="str">
        <f>IF(ISNUMBER('Resol  Asuntos'!D12/NºAsuntos!G12),'Resol  Asuntos'!D12/NºAsuntos!G12," - ")</f>
        <v xml:space="preserve"> - </v>
      </c>
      <c r="AO12" s="245" t="str">
        <f>IF(ISNUMBER((NºAsuntos!C12+NºAsuntos!E12)/NºAsuntos!G12),(NºAsuntos!C12+NºAsuntos!E12)/NºAsuntos!G12," - ")</f>
        <v xml:space="preserve"> - </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9</v>
      </c>
      <c r="F13" s="865">
        <f t="shared" si="3"/>
        <v>108</v>
      </c>
      <c r="G13" s="866">
        <f t="shared" si="3"/>
        <v>108</v>
      </c>
      <c r="H13" s="865">
        <f t="shared" si="3"/>
        <v>0</v>
      </c>
      <c r="I13" s="867">
        <f t="shared" si="3"/>
        <v>0</v>
      </c>
      <c r="J13" s="867">
        <f t="shared" si="3"/>
        <v>0</v>
      </c>
      <c r="K13" s="867">
        <f t="shared" si="3"/>
        <v>0</v>
      </c>
      <c r="L13" s="867">
        <f t="shared" si="3"/>
        <v>1258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44</v>
      </c>
      <c r="X13" s="867">
        <f t="shared" si="4"/>
        <v>736</v>
      </c>
      <c r="Y13" s="868">
        <f t="shared" si="4"/>
        <v>780</v>
      </c>
      <c r="Z13" s="868">
        <f t="shared" si="4"/>
        <v>0</v>
      </c>
      <c r="AA13" s="868">
        <f t="shared" si="4"/>
        <v>116</v>
      </c>
      <c r="AB13" s="868">
        <f t="shared" si="4"/>
        <v>11175</v>
      </c>
      <c r="AC13" s="868">
        <f t="shared" si="4"/>
        <v>225</v>
      </c>
      <c r="AD13" s="868">
        <f t="shared" si="4"/>
        <v>0</v>
      </c>
      <c r="AE13" s="872">
        <f t="shared" si="4"/>
        <v>0</v>
      </c>
      <c r="AF13" s="865">
        <f t="shared" si="4"/>
        <v>0</v>
      </c>
      <c r="AG13" s="873">
        <f t="shared" si="4"/>
        <v>0</v>
      </c>
      <c r="AH13" s="870">
        <f t="shared" si="4"/>
        <v>0</v>
      </c>
      <c r="AI13" s="865">
        <f t="shared" si="4"/>
        <v>872</v>
      </c>
      <c r="AJ13" s="867">
        <f t="shared" si="4"/>
        <v>0</v>
      </c>
      <c r="AK13" s="870">
        <f>SUBTOTAL(9,AK9:AK12)</f>
        <v>0</v>
      </c>
      <c r="AL13" s="874">
        <f>IF(ISNUMBER(NºAsuntos!G13/NºAsuntos!E13),NºAsuntos!G13/NºAsuntos!E13," - ")</f>
        <v>0.8002861815208504</v>
      </c>
      <c r="AM13" s="874">
        <f>IF(ISNUMBER(((NºAsuntos!I13/NºAsuntos!G13)*11)/factor_trimestre),((NºAsuntos!I13/NºAsuntos!G13)*11)/factor_trimestre," - ")</f>
        <v>6.1984674329501921</v>
      </c>
      <c r="AN13" s="875">
        <f>IF(ISNUMBER('Resol  Asuntos'!D13/NºAsuntos!G13),'Resol  Asuntos'!D13/NºAsuntos!G13," - ")</f>
        <v>0.22273307790549171</v>
      </c>
      <c r="AO13" s="876">
        <f>IF(ISNUMBER((NºAsuntos!C13+NºAsuntos!E13)/NºAsuntos!G13),(NºAsuntos!C13+NºAsuntos!E13)/NºAsuntos!G13," - ")</f>
        <v>3.0822477650063855</v>
      </c>
      <c r="AP13" s="877" t="str">
        <f t="shared" si="2"/>
        <v xml:space="preserve"> - </v>
      </c>
      <c r="AQ13" s="877">
        <f>IF(ISNUMBER((H13-W13+K13)/(F13)),(H13-W13+K13)/(F13)," - ")</f>
        <v>-0.40740740740740738</v>
      </c>
      <c r="AR13" s="878">
        <f>IF(ISNUMBER((Datos!P13-Datos!Q13)/(Datos!R13-Datos!P13+Datos!Q13)),(Datos!P13-Datos!Q13)/(Datos!R13-Datos!P13+Datos!Q13)," - ")</f>
        <v>4.9000281610813858E-2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5</v>
      </c>
      <c r="B15" s="275" t="s">
        <v>396</v>
      </c>
      <c r="C15" s="160" t="str">
        <f>Datos!A15</f>
        <v xml:space="preserve">Jdos. Instrucción                               </v>
      </c>
      <c r="D15" s="160"/>
      <c r="E15" s="1025">
        <f>IF(ISNUMBER(Datos!AQ15),Datos!AQ15," - ")</f>
        <v>5</v>
      </c>
      <c r="F15" s="225">
        <f>IF(ISNUMBER(AA15+W15-Datos!J15-K15),AA15+W15-Datos!J15-K15," - ")</f>
        <v>3051</v>
      </c>
      <c r="G15" s="333">
        <f>IF(ISNUMBER(IF(D_I="SI",Datos!I15,Datos!I15+Datos!AC15)),IF(D_I="SI",Datos!I15,Datos!I15+Datos!AC15)," - ")</f>
        <v>3000</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214</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f>IF(ISNUMBER(IF(D_I="SI",Datos!K15,Datos!K15+Datos!AE15)),IF(D_I="SI",Datos!K15,Datos!K15+Datos!AE15)," - ")</f>
        <v>3161</v>
      </c>
      <c r="X15" s="226">
        <f>IF(ISNUMBER(Datos!Q15),Datos!Q15," - ")</f>
        <v>165</v>
      </c>
      <c r="Y15" s="334">
        <f>SUM(W15)</f>
        <v>3161</v>
      </c>
      <c r="Z15" s="335" t="str">
        <f>IF(ISNUMBER(Datos!CC15),Datos!CC15," - ")</f>
        <v xml:space="preserve"> - </v>
      </c>
      <c r="AA15" s="332">
        <f>IF(ISNUMBER(IF(D_I="SI",Datos!L15,Datos!L15+Datos!AF15)),IF(D_I="SI",Datos!L15,Datos!L15+Datos!AF15)," - ")</f>
        <v>2844</v>
      </c>
      <c r="AB15" s="334">
        <f>IF(ISNUMBER(Datos!R15),Datos!R15," - ")</f>
        <v>444</v>
      </c>
      <c r="AC15" s="334">
        <f t="shared" ref="AC15:AC17" si="6">IF(ISNUMBER(AA15+AB15),AA15+AB15," - ")</f>
        <v>3288</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f>IF(ISNUMBER(Datos!M15),Datos!M15," - ")</f>
        <v>433</v>
      </c>
      <c r="AJ15" s="231" t="str">
        <f>IF(ISNUMBER(Datos!BW15),Datos!BW15," - ")</f>
        <v xml:space="preserve"> - </v>
      </c>
      <c r="AK15" s="232" t="str">
        <f>IF(ISNUMBER(Datos!BX15),Datos!BX15," - ")</f>
        <v xml:space="preserve"> - </v>
      </c>
      <c r="AL15" s="243">
        <f>IF(ISNUMBER(NºAsuntos!G15/NºAsuntos!E15),NºAsuntos!G15/NºAsuntos!E15," - ")</f>
        <v>1.0700744752877454</v>
      </c>
      <c r="AM15" s="260">
        <f>IF(ISNUMBER(((NºAsuntos!I15/NºAsuntos!G15)*11)/factor_trimestre),((NºAsuntos!I15/NºAsuntos!G15)*11)/factor_trimestre," - ")</f>
        <v>2.6991458399240749</v>
      </c>
      <c r="AN15" s="244">
        <f>IF(ISNUMBER('Resol  Asuntos'!D15/NºAsuntos!G15),'Resol  Asuntos'!D15/NºAsuntos!G15," - ")</f>
        <v>0.13698196773173046</v>
      </c>
      <c r="AO15" s="245">
        <f>IF(ISNUMBER((NºAsuntos!C15+NºAsuntos!E15)/NºAsuntos!G15),(NºAsuntos!C15+NºAsuntos!E15)/NºAsuntos!G15," - ")</f>
        <v>1.8835811452072129</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0</v>
      </c>
      <c r="B16" s="275" t="s">
        <v>396</v>
      </c>
      <c r="C16" s="160" t="str">
        <f>Datos!A16</f>
        <v xml:space="preserve">Jdos. 1ª Instª. e Instr.                        </v>
      </c>
      <c r="D16" s="160"/>
      <c r="E16" s="1025">
        <f>IF(ISNUMBER(Datos!AQ16),Datos!AQ16," - ")</f>
        <v>0</v>
      </c>
      <c r="F16" s="225" t="str">
        <f>IF(ISNUMBER(AA16+W16-Datos!J16-K16),AA16+W16-Datos!J16-K16," - ")</f>
        <v xml:space="preserve"> - </v>
      </c>
      <c r="G16" s="333" t="str">
        <f>IF(ISNUMBER(IF(D_I="SI",Datos!I16,Datos!I16+Datos!AC16)),IF(D_I="SI",Datos!I16,Datos!I16+Datos!AC16)," - ")</f>
        <v xml:space="preserve"> - </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t="str">
        <f>IF(ISNUMBER(IF(D_I="SI",Datos!K16,Datos!K16+Datos!AE16)),IF(D_I="SI",Datos!K16,Datos!K16+Datos!AE16)," - ")</f>
        <v xml:space="preserve"> - </v>
      </c>
      <c r="X16" s="226" t="str">
        <f>IF(ISNUMBER(Datos!Q16),Datos!Q16," - ")</f>
        <v xml:space="preserve"> - </v>
      </c>
      <c r="Y16" s="334">
        <f t="shared" ref="Y16:Y17" si="7">SUM(W16:X16)</f>
        <v>0</v>
      </c>
      <c r="Z16" s="335" t="str">
        <f>IF(ISNUMBER(Datos!CC16),Datos!CC16," - ")</f>
        <v xml:space="preserve"> - </v>
      </c>
      <c r="AA16" s="332" t="str">
        <f>IF(ISNUMBER(IF(D_I="SI",Datos!L16,Datos!L16+Datos!AF16)),IF(D_I="SI",Datos!L16,Datos!L16+Datos!AF16)," - ")</f>
        <v xml:space="preserve"> - </v>
      </c>
      <c r="AB16" s="334" t="str">
        <f>IF(ISNUMBER(Datos!R16),Datos!R16," - ")</f>
        <v xml:space="preserve"> - </v>
      </c>
      <c r="AC16" s="334" t="str">
        <f t="shared" si="6"/>
        <v xml:space="preserve"> - </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t="str">
        <f>IF(ISNUMBER(Datos!M16),Datos!M16," - ")</f>
        <v xml:space="preserve"> - </v>
      </c>
      <c r="AJ16" s="231" t="str">
        <f>IF(ISNUMBER(Datos!BW16),Datos!BW16," - ")</f>
        <v xml:space="preserve"> - </v>
      </c>
      <c r="AK16" s="232" t="str">
        <f>IF(ISNUMBER(Datos!BX16),Datos!BX16," - ")</f>
        <v xml:space="preserve"> - </v>
      </c>
      <c r="AL16" s="243" t="str">
        <f>IF(ISNUMBER(NºAsuntos!G16/NºAsuntos!E16),NºAsuntos!G16/NºAsuntos!E16," - ")</f>
        <v xml:space="preserve"> - </v>
      </c>
      <c r="AM16" s="260" t="str">
        <f>IF(ISNUMBER(((NºAsuntos!I16/NºAsuntos!G16)*11)/factor_trimestre),((NºAsuntos!I16/NºAsuntos!G16)*11)/factor_trimestre," - ")</f>
        <v xml:space="preserve"> - </v>
      </c>
      <c r="AN16" s="244" t="str">
        <f>IF(ISNUMBER('Resol  Asuntos'!D16/NºAsuntos!G16),'Resol  Asuntos'!D16/NºAsuntos!G16," - ")</f>
        <v xml:space="preserve"> - </v>
      </c>
      <c r="AO16" s="245" t="str">
        <f>IF(ISNUMBER((NºAsuntos!C16+NºAsuntos!E16)/NºAsuntos!G16),(NºAsuntos!C16+NºAsuntos!E16)/NºAsuntos!G16," - ")</f>
        <v xml:space="preserve"> - </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281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306</v>
      </c>
      <c r="X17" s="226">
        <f>IF(ISNUMBER(Datos!Q17),Datos!Q17," - ")</f>
        <v>2</v>
      </c>
      <c r="Y17" s="334">
        <f t="shared" si="7"/>
        <v>308</v>
      </c>
      <c r="Z17" s="335" t="str">
        <f>IF(ISNUMBER(Datos!CC17),Datos!CC17," - ")</f>
        <v xml:space="preserve"> - </v>
      </c>
      <c r="AA17" s="332">
        <f>IF(ISNUMBER(Datos!L17),Datos!L17,"-")</f>
        <v>268</v>
      </c>
      <c r="AB17" s="334">
        <f>IF(ISNUMBER(Datos!R17),Datos!R17," - ")</f>
        <v>10</v>
      </c>
      <c r="AC17" s="334">
        <f t="shared" si="6"/>
        <v>278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49</v>
      </c>
      <c r="AJ17" s="231" t="str">
        <f>IF(ISNUMBER(Datos!BW17),Datos!BW17," - ")</f>
        <v xml:space="preserve"> - </v>
      </c>
      <c r="AK17" s="232" t="str">
        <f>IF(ISNUMBER(Datos!BX17),Datos!BX17," - ")</f>
        <v xml:space="preserve"> - </v>
      </c>
      <c r="AL17" s="243">
        <f>IF(ISNUMBER(NºAsuntos!G17/NºAsuntos!E17),NºAsuntos!G17/NºAsuntos!E17," - ")</f>
        <v>1.0443686006825939</v>
      </c>
      <c r="AM17" s="260">
        <f>IF(ISNUMBER(((NºAsuntos!I17/NºAsuntos!G17)*11)/factor_trimestre),((NºAsuntos!I17/NºAsuntos!G17)*11)/factor_trimestre," - ")</f>
        <v>2.6274509803921569</v>
      </c>
      <c r="AN17" s="244">
        <f>IF(ISNUMBER('Resol  Asuntos'!D17/NºAsuntos!G17),'Resol  Asuntos'!D17/NºAsuntos!G17," - ")</f>
        <v>0.16013071895424835</v>
      </c>
      <c r="AO17" s="245">
        <f>IF(ISNUMBER((NºAsuntos!C17+NºAsuntos!E17)/NºAsuntos!G17),(NºAsuntos!C17+NºAsuntos!E17)/NºAsuntos!G17," - ")</f>
        <v>1.8758169934640523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3051</v>
      </c>
      <c r="G18" s="866">
        <f>SUBTOTAL(9,G15:G17)</f>
        <v>3281</v>
      </c>
      <c r="H18" s="865">
        <f t="shared" ref="H18:O18" si="10">SUBTOTAL(9,H14:H17)</f>
        <v>0</v>
      </c>
      <c r="I18" s="867">
        <f t="shared" si="10"/>
        <v>0</v>
      </c>
      <c r="J18" s="867">
        <f t="shared" si="10"/>
        <v>0</v>
      </c>
      <c r="K18" s="867">
        <f t="shared" si="10"/>
        <v>0</v>
      </c>
      <c r="L18" s="867">
        <f t="shared" si="10"/>
        <v>214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3467</v>
      </c>
      <c r="X18" s="867">
        <f t="shared" si="11"/>
        <v>167</v>
      </c>
      <c r="Y18" s="868">
        <f t="shared" si="11"/>
        <v>3469</v>
      </c>
      <c r="Z18" s="868">
        <f t="shared" si="11"/>
        <v>0</v>
      </c>
      <c r="AA18" s="868">
        <f t="shared" si="11"/>
        <v>3112</v>
      </c>
      <c r="AB18" s="868">
        <f t="shared" si="11"/>
        <v>454</v>
      </c>
      <c r="AC18" s="868">
        <f t="shared" si="11"/>
        <v>3566</v>
      </c>
      <c r="AD18" s="868">
        <f t="shared" si="11"/>
        <v>0</v>
      </c>
      <c r="AE18" s="872">
        <f t="shared" si="11"/>
        <v>0</v>
      </c>
      <c r="AF18" s="865">
        <f t="shared" si="11"/>
        <v>0</v>
      </c>
      <c r="AG18" s="873">
        <f t="shared" si="11"/>
        <v>0</v>
      </c>
      <c r="AH18" s="870">
        <f t="shared" si="11"/>
        <v>0</v>
      </c>
      <c r="AI18" s="865">
        <f t="shared" si="11"/>
        <v>482</v>
      </c>
      <c r="AJ18" s="867">
        <f t="shared" si="11"/>
        <v>0</v>
      </c>
      <c r="AK18" s="870">
        <f t="shared" si="11"/>
        <v>0</v>
      </c>
      <c r="AL18" s="874">
        <f>IF(ISNUMBER(NºAsuntos!G18/NºAsuntos!E18),NºAsuntos!G18/NºAsuntos!E18," - ")</f>
        <v>1.0677548506313521</v>
      </c>
      <c r="AM18" s="874">
        <f>IF(ISNUMBER(((NºAsuntos!I18/NºAsuntos!G18)*11)/factor_trimestre),((NºAsuntos!I18/NºAsuntos!G18)*11)/factor_trimestre," - ")</f>
        <v>2.6928179982693972</v>
      </c>
      <c r="AN18" s="875">
        <f>IF(ISNUMBER('Resol  Asuntos'!D18/NºAsuntos!G18),'Resol  Asuntos'!D18/NºAsuntos!G18," - ")</f>
        <v>0.13902509374098646</v>
      </c>
      <c r="AO18" s="876">
        <f>IF(ISNUMBER((NºAsuntos!C18+NºAsuntos!E18)/NºAsuntos!G18),(NºAsuntos!C18+NºAsuntos!E18)/NºAsuntos!G18," - ")</f>
        <v>1.8828958753965965</v>
      </c>
      <c r="AP18" s="877" t="str">
        <f t="shared" si="2"/>
        <v xml:space="preserve"> - </v>
      </c>
      <c r="AQ18" s="877">
        <f>IF(ISNUMBER((H18-W18+K18)/(F18)),(H18-W18+K18)/(F18)," - ")</f>
        <v>-1.1363487381186497</v>
      </c>
      <c r="AR18" s="878">
        <f>IF(ISNUMBER((Datos!P18-Datos!Q18)/(Datos!R18-Datos!P18+Datos!Q18)),(Datos!P18-Datos!Q18)/(Datos!R18-Datos!P18+Datos!Q18)," - ")</f>
        <v>0.11547911547911548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15</v>
      </c>
      <c r="F19" s="820">
        <f t="shared" si="13"/>
        <v>3159</v>
      </c>
      <c r="G19" s="821">
        <f t="shared" si="13"/>
        <v>3389</v>
      </c>
      <c r="H19" s="820">
        <f t="shared" si="13"/>
        <v>0</v>
      </c>
      <c r="I19" s="822">
        <f t="shared" si="13"/>
        <v>0</v>
      </c>
      <c r="J19" s="822">
        <f t="shared" si="13"/>
        <v>0</v>
      </c>
      <c r="K19" s="881">
        <f t="shared" si="13"/>
        <v>0</v>
      </c>
      <c r="L19" s="822">
        <f t="shared" si="13"/>
        <v>1472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3511</v>
      </c>
      <c r="X19" s="821">
        <f t="shared" si="14"/>
        <v>903</v>
      </c>
      <c r="Y19" s="828">
        <f t="shared" si="14"/>
        <v>4249</v>
      </c>
      <c r="Z19" s="828">
        <f t="shared" si="14"/>
        <v>0</v>
      </c>
      <c r="AA19" s="828">
        <f t="shared" si="14"/>
        <v>3228</v>
      </c>
      <c r="AB19" s="828">
        <f t="shared" si="14"/>
        <v>11629</v>
      </c>
      <c r="AC19" s="828">
        <f t="shared" si="14"/>
        <v>3791</v>
      </c>
      <c r="AD19" s="828">
        <f t="shared" si="14"/>
        <v>0</v>
      </c>
      <c r="AE19" s="830">
        <f t="shared" si="14"/>
        <v>0</v>
      </c>
      <c r="AF19" s="831">
        <f t="shared" si="14"/>
        <v>0</v>
      </c>
      <c r="AG19" s="832">
        <f t="shared" si="14"/>
        <v>0</v>
      </c>
      <c r="AH19" s="830">
        <f t="shared" si="14"/>
        <v>0</v>
      </c>
      <c r="AI19" s="820">
        <f t="shared" si="14"/>
        <v>1354</v>
      </c>
      <c r="AJ19" s="820">
        <f t="shared" si="14"/>
        <v>0</v>
      </c>
      <c r="AK19" s="830">
        <f t="shared" si="14"/>
        <v>0</v>
      </c>
      <c r="AL19" s="884">
        <f>IF(ISNUMBER(NºAsuntos!G19/NºAsuntos!E19),NºAsuntos!G19/NºAsuntos!E19," - ")</f>
        <v>0.90699103083916943</v>
      </c>
      <c r="AM19" s="885">
        <f>IF(ISNUMBER(((NºAsuntos!I19/NºAsuntos!G19)*11)/factor_trimestre),((NºAsuntos!I19/NºAsuntos!G19)*11)/factor_trimestre," - ")</f>
        <v>4.552018423191547</v>
      </c>
      <c r="AN19" s="885">
        <f>IF(ISNUMBER('Resol  Asuntos'!D19/NºAsuntos!G19),'Resol  Asuntos'!D19/NºAsuntos!G19," - ")</f>
        <v>0.18341912760769438</v>
      </c>
      <c r="AO19" s="886">
        <f>IF(ISNUMBER((NºAsuntos!C19+NºAsuntos!E19)/NºAsuntos!G19),(NºAsuntos!C19+NºAsuntos!E19)/NºAsuntos!G19," - ")</f>
        <v>2.5189650501219183</v>
      </c>
      <c r="AP19" s="887" t="str">
        <f t="shared" si="2"/>
        <v xml:space="preserve"> - </v>
      </c>
      <c r="AQ19" s="888">
        <f>IF(OR(ISNUMBER(FIND("01",Criterios!A8,1)),ISNUMBER(FIND("02",Criterios!A8,1)),ISNUMBER(FIND("03",Criterios!A8,1)),ISNUMBER(FIND("04",Criterios!A8,1))),(I19-W19+K19)/(F19-K19),(H19-W19+K19)/(F19-K19))</f>
        <v>-1.1114276669832226</v>
      </c>
      <c r="AR19" s="889">
        <f>IF(ISNUMBER((Datos!P19-Datos!Q19)/(Datos!R19-Datos!P19+Datos!Q19)),(Datos!P19-Datos!Q19)/(Datos!R19-Datos!P19+Datos!Q19)," - ")</f>
        <v>5.1446654611211576E-2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1355.6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3.2403703492039302</v>
      </c>
      <c r="F21" s="252">
        <f>IF(ISNUMBER(STDEV(F8:F18)),STDEV(F8:F18),"-")</f>
        <v>1699.1418422250686</v>
      </c>
      <c r="G21" s="253">
        <f>IF(ISNUMBER(STDEV(G8:G18)),STDEV(G8:G18),"-")</f>
        <v>1633.9364430723735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1749.8443645078839</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316.80142496072023</v>
      </c>
      <c r="AJ21" s="252">
        <f t="shared" si="18"/>
        <v>0</v>
      </c>
      <c r="AK21" s="254">
        <f t="shared" si="18"/>
        <v>0</v>
      </c>
      <c r="AL21" s="249">
        <f t="shared" si="18"/>
        <v>0.12980496407055372</v>
      </c>
      <c r="AM21" s="250">
        <f t="shared" si="18"/>
        <v>2.1610642604285699</v>
      </c>
      <c r="AN21" s="250">
        <f t="shared" si="18"/>
        <v>0.13431515140898895</v>
      </c>
      <c r="AO21" s="251">
        <f t="shared" si="18"/>
        <v>0.72918664293911961</v>
      </c>
      <c r="AP21" s="291" t="str">
        <f t="shared" si="18"/>
        <v>-</v>
      </c>
      <c r="AQ21" s="292">
        <f t="shared" si="18"/>
        <v>0.51543935803306506</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SWS4pR7kADZ/bpFrPFfutAPa62Co/lp4PRYP0phuRhd1sYoB3rqREg3ttwAMZnRaTJ8+9wISkRoteVsuHB9kqA==" saltValue="7IG89wALZp+N0ueLATrQx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HUELVA</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f>IF(ISNUMBER((Datos!M9-Datos!W9)/Datos!W9),(Datos!M9-Datos!W9)/Datos!W9," - ")</f>
        <v>-5.8908045977011492E-2</v>
      </c>
      <c r="I9" s="350">
        <f>IF(ISNUMBER((Tasas!C9-Datos!BE9)/Datos!BE9),(Tasas!C9-Datos!BE9)/Datos!BE9," - ")</f>
        <v>5.9135023240170899E-2</v>
      </c>
      <c r="J9" s="349">
        <f>IF(ISNUMBER((Tasas!D9-Datos!BF9)/Datos!BF9),(Tasas!D9-Datos!BF9)/Datos!BF9," - ")</f>
        <v>-0.49427684938584898</v>
      </c>
      <c r="K9" s="351">
        <f>IF(ISNUMBER((Tasas!E9-Datos!BG9)/Datos!BG9),(Tasas!E9-Datos!BG9)/Datos!BG9," - ")</f>
        <v>3.965258182259631E-2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-0.14960629921259844</v>
      </c>
      <c r="E10" s="348">
        <f>IF(ISNUMBER((Datos!J10-Datos!T10)/Datos!T10),(Datos!J10-Datos!T10)/Datos!T10," - ")</f>
        <v>0.52941176470588236</v>
      </c>
      <c r="F10" s="348">
        <f>IF(ISNUMBER((Datos!K10-Datos!U10)/Datos!U10),(Datos!K10-Datos!U10)/Datos!U10," - ")</f>
        <v>-8.3333333333333329E-2</v>
      </c>
      <c r="G10" s="349">
        <f>IF(ISNUMBER((Datos!L10-Datos!V10)/Datos!V10),(Datos!L10-Datos!V10)/Datos!V10," - ")</f>
        <v>2.6548672566371681E-2</v>
      </c>
      <c r="H10" s="230">
        <f>IF(ISNUMBER((Datos!M10-Datos!W10)/Datos!W10),(Datos!M10-Datos!W10)/Datos!W10," - ")</f>
        <v>0.53333333333333333</v>
      </c>
      <c r="I10" s="350">
        <f>IF(ISNUMBER((Tasas!C10-Datos!BE10)/Datos!BE10),(Tasas!C10-Datos!BE10)/Datos!BE10," - ")</f>
        <v>0.11987127916331458</v>
      </c>
      <c r="J10" s="349">
        <f>IF(ISNUMBER((Tasas!D10-Datos!BF10)/Datos!BF10),(Tasas!D10-Datos!BF10)/Datos!BF10," - ")</f>
        <v>0.67272727272727262</v>
      </c>
      <c r="K10" s="351">
        <f>IF(ISNUMBER((Tasas!E10-Datos!BG10)/Datos!BG10),(Tasas!E10-Datos!BG10)/Datos!BG10," - ")</f>
        <v>8.4133258046301534E-2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f>IF(ISNUMBER((Datos!M11-Datos!W11)/Datos!W11),(Datos!M11-Datos!W11)/Datos!W11," - ")</f>
        <v>0.25161290322580643</v>
      </c>
      <c r="I11" s="350">
        <f>IF(ISNUMBER((Tasas!C11-Datos!BE11)/Datos!BE11),(Tasas!C11-Datos!BE11)/Datos!BE11," - ")</f>
        <v>-0.33101731036882392</v>
      </c>
      <c r="J11" s="349">
        <f>IF(ISNUMBER((Tasas!D11-Datos!BF11)/Datos!BF11),(Tasas!D11-Datos!BF11)/Datos!BF11," - ")</f>
        <v>-0.39227031032078102</v>
      </c>
      <c r="K11" s="351">
        <f>IF(ISNUMBER((Tasas!E11-Datos!BG11)/Datos!BG11),(Tasas!E11-Datos!BG11)/Datos!BG11," - ")</f>
        <v>-0.21297410847415507</v>
      </c>
      <c r="M11" t="e">
        <f>IF(Monitorios="SI",Datos!CE11,0)</f>
        <v>#REF!</v>
      </c>
      <c r="N11" t="e">
        <f>IF(Monitorios="SI",Datos!CF11,0)</f>
        <v>#REF!</v>
      </c>
      <c r="O11" t="e">
        <f>IF(Monitorios="SI",Datos!CG11,0)</f>
        <v>#REF!</v>
      </c>
      <c r="P11" t="e">
        <f>IF(Monitorios="SI",Datos!CH11,0)</f>
        <v>#REF!</v>
      </c>
      <c r="Q11">
        <f>IF(J_V="SI",0,Datos!AG11)</f>
        <v>202</v>
      </c>
      <c r="R11">
        <f>IF(J_V="SI",0,Datos!AH11)</f>
        <v>304</v>
      </c>
      <c r="S11">
        <f>IF(J_V="SI",0,Datos!AI11)</f>
        <v>223</v>
      </c>
      <c r="T11">
        <f>IF(J_V="SI",0,Datos!AJ11)</f>
        <v>283</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t="str">
        <f>IF(ISNUMBER((Datos!M12-Datos!W12)/Datos!W12),(Datos!M12-Datos!W12)/Datos!W12," - ")</f>
        <v xml:space="preserve"> - </v>
      </c>
      <c r="I12" s="350" t="str">
        <f>IF(ISNUMBER((Tasas!C12-Datos!BE12)/Datos!BE12),(Tasas!C12-Datos!BE12)/Datos!BE12," - ")</f>
        <v xml:space="preserve"> - </v>
      </c>
      <c r="J12" s="349" t="str">
        <f>IF(ISNUMBER((Tasas!D12-Datos!BF12)/Datos!BF12),(Tasas!D12-Datos!BF12)/Datos!BF12," - ")</f>
        <v xml:space="preserve"> - </v>
      </c>
      <c r="K12" s="35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6.9284064665127024E-3</v>
      </c>
      <c r="I13" s="357">
        <f>IF(ISNUMBER((Tasas!C13-Datos!BE13)/Datos!BE13),(Tasas!C13-Datos!BE13)/Datos!BE13," - ")</f>
        <v>-2.4917928205931535E-2</v>
      </c>
      <c r="J13" s="355">
        <f>IF(ISNUMBER((Tasas!D13-Datos!BF13)/Datos!BF13),(Tasas!D13-Datos!BF13)/Datos!BF13," - ")</f>
        <v>-0.46407337214888472</v>
      </c>
      <c r="K13" s="358">
        <f>IF(ISNUMBER((Tasas!E13-Datos!BG13)/Datos!BG13),(Tasas!E13-Datos!BG13)/Datos!BG13," - ")</f>
        <v>-1.1769334617032039E-2</v>
      </c>
      <c r="M13" t="e">
        <f>IF(Monitorios="SI",Datos!CE13,0)</f>
        <v>#REF!</v>
      </c>
      <c r="N13" t="e">
        <f>IF(Monitorios="SI",Datos!CF13,0)</f>
        <v>#REF!</v>
      </c>
      <c r="O13" t="e">
        <f>IF(Monitorios="SI",Datos!CG13,0)</f>
        <v>#REF!</v>
      </c>
      <c r="P13" t="e">
        <f>IF(Monitorios="SI",Datos!CH13,0)</f>
        <v>#REF!</v>
      </c>
      <c r="Q13">
        <f>IF(J_V="SI",0,Datos!AG13)</f>
        <v>202</v>
      </c>
      <c r="R13">
        <f>IF(J_V="SI",0,Datos!AH13)</f>
        <v>304</v>
      </c>
      <c r="S13">
        <f>IF(J_V="SI",0,Datos!AI13)</f>
        <v>223</v>
      </c>
      <c r="T13">
        <f>IF(J_V="SI",0,Datos!AJ13)</f>
        <v>283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f>IF(ISNUMBER(
   IF(D_I="SI",(Datos!I15-Datos!S15)/Datos!S15,(Datos!I15+Datos!AC15-(Datos!S15+Datos!AK15))/(Datos!S15+Datos!AK15))
     ),IF(D_I="SI",(Datos!I15-Datos!S15)/Datos!S15,(Datos!I15+Datos!AC15-(Datos!S15+Datos!AK15))/(Datos!S15+Datos!AK15))," - ")</f>
        <v>0.16822429906542055</v>
      </c>
      <c r="E15" s="348">
        <f>IF(ISNUMBER(
   IF(D_I="SI",(Datos!J15-Datos!T15)/Datos!T15,(Datos!J15+Datos!AD15-(Datos!T15+Datos!AL15))/(Datos!T15+Datos!AL15))
     ),IF(D_I="SI",(Datos!J15-Datos!T15)/Datos!T15,(Datos!J15+Datos!AD15-(Datos!T15+Datos!AL15))/(Datos!T15+Datos!AL15))," - ")</f>
        <v>-4.8018047051240735E-2</v>
      </c>
      <c r="F15" s="348">
        <f>IF(ISNUMBER(
   IF(D_I="SI",(Datos!K15-Datos!U15)/Datos!U15,(Datos!K15+Datos!AE15-(Datos!U15+Datos!AM15))/(Datos!U15+Datos!AM15))
     ),IF(D_I="SI",(Datos!K15-Datos!U15)/Datos!U15,(Datos!K15+Datos!AE15-(Datos!U15+Datos!AM15))/(Datos!U15+Datos!AM15))," - ")</f>
        <v>6.538591169531513E-2</v>
      </c>
      <c r="G15" s="349">
        <f>IF(ISNUMBER(
   IF(D_I="SI",(Datos!L15-Datos!V15)/Datos!V15,(Datos!L15+Datos!AF15-(Datos!V15+Datos!AN15))/(Datos!V15+Datos!AN15))
     ),IF(D_I="SI",(Datos!L15-Datos!V15)/Datos!V15,(Datos!L15+Datos!AF15-(Datos!V15+Datos!AN15))/(Datos!V15+Datos!AN15))," - ")</f>
        <v>3.3054849255357795E-2</v>
      </c>
      <c r="H15" s="230">
        <f>IF(ISNUMBER((Datos!M15-Datos!W15)/Datos!W15),(Datos!M15-Datos!W15)/Datos!W15," - ")</f>
        <v>3.0952380952380953E-2</v>
      </c>
      <c r="I15" s="350">
        <f>IF(ISNUMBER((Tasas!C15-Datos!BE15)/Datos!BE15),(Tasas!C15-Datos!BE15)/Datos!BE15," - ")</f>
        <v>-3.0346808686919788E-2</v>
      </c>
      <c r="J15" s="349">
        <f>IF(ISNUMBER((Tasas!D15-Datos!BF15)/Datos!BF15),(Tasas!D15-Datos!BF15)/Datos!BF15," - ")</f>
        <v>-3.2320242237989849E-2</v>
      </c>
      <c r="K15" s="351">
        <f>IF(ISNUMBER((Tasas!E15-Datos!BG15)/Datos!BG15),(Tasas!E15-Datos!BG15)/Datos!BG15," - ")</f>
        <v>-1.4532664815764335E-2</v>
      </c>
    </row>
    <row r="16" spans="2:20" ht="14.25">
      <c r="B16" s="275" t="s">
        <v>396</v>
      </c>
      <c r="C16" s="7" t="str">
        <f>Datos!A16</f>
        <v xml:space="preserve">Jdos. 1ª Instª. e Instr.                        </v>
      </c>
      <c r="D16" s="352" t="str">
        <f>IF(ISNUMBER(
   IF(D_I="SI",(Datos!I16-Datos!S16)/Datos!S16,(Datos!I16+Datos!AC16-(Datos!S16+Datos!AK16))/(Datos!S16+Datos!AK16))
     ),IF(D_I="SI",(Datos!I16-Datos!S16)/Datos!S16,(Datos!I16+Datos!AC16-(Datos!S16+Datos!AK16))/(Datos!S16+Datos!AK16))," - ")</f>
        <v xml:space="preserve"> - </v>
      </c>
      <c r="E16" s="348" t="str">
        <f>IF(ISNUMBER(
   IF(D_I="SI",(Datos!J16-Datos!T16)/Datos!T16,(Datos!J16+Datos!AD16-(Datos!T16+Datos!AL16))/(Datos!T16+Datos!AL16))
     ),IF(D_I="SI",(Datos!J16-Datos!T16)/Datos!T16,(Datos!J16+Datos!AD16-(Datos!T16+Datos!AL16))/(Datos!T16+Datos!AL16))," - ")</f>
        <v xml:space="preserve"> - </v>
      </c>
      <c r="F16" s="348" t="str">
        <f>IF(ISNUMBER(
   IF(D_I="SI",(Datos!K16-Datos!U16)/Datos!U16,(Datos!K16+Datos!AE16-(Datos!U16+Datos!AM16))/(Datos!U16+Datos!AM16))
     ),IF(D_I="SI",(Datos!K16-Datos!U16)/Datos!U16,(Datos!K16+Datos!AE16-(Datos!U16+Datos!AM16))/(Datos!U16+Datos!AM16))," - ")</f>
        <v xml:space="preserve"> - </v>
      </c>
      <c r="G16" s="349" t="str">
        <f>IF(ISNUMBER(
   IF(D_I="SI",(Datos!L16-Datos!V16)/Datos!V16,(Datos!L16+Datos!AF16-(Datos!V16+Datos!AN16))/(Datos!V16+Datos!AN16))
     ),IF(D_I="SI",(Datos!L16-Datos!V16)/Datos!V16,(Datos!L16+Datos!AF16-(Datos!V16+Datos!AN16))/(Datos!V16+Datos!AN16))," - ")</f>
        <v xml:space="preserve"> - </v>
      </c>
      <c r="H16" s="230" t="str">
        <f>IF(ISNUMBER((Datos!M16-Datos!W16)/Datos!W16),(Datos!M16-Datos!W16)/Datos!W16," - ")</f>
        <v xml:space="preserve"> - </v>
      </c>
      <c r="I16" s="350" t="str">
        <f>IF(ISNUMBER((Tasas!C16-Datos!BE16)/Datos!BE16),(Tasas!C16-Datos!BE16)/Datos!BE16," - ")</f>
        <v xml:space="preserve"> - </v>
      </c>
      <c r="J16" s="349" t="str">
        <f>IF(ISNUMBER((Tasas!D16-Datos!BF16)/Datos!BF16),(Tasas!D16-Datos!BF16)/Datos!BF16," - ")</f>
        <v xml:space="preserve"> - </v>
      </c>
      <c r="K16" s="351" t="str">
        <f>IF(ISNUMBER((Tasas!E16-Datos!BG16)/Datos!BG16),(Tasas!E16-Datos!BG16)/Datos!BG16," - ")</f>
        <v xml:space="preserve"> - </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8.9147286821705432E-2</v>
      </c>
      <c r="E17" s="348">
        <f>IF(ISNUMBER(
   IF(D_I="SI",(Datos!J17-Datos!T17)/Datos!T17,(Datos!J17+Datos!AD17-(Datos!T17+Datos!AL17))/(Datos!T17+Datos!AL17))
     ),IF(D_I="SI",(Datos!J17-Datos!T17)/Datos!T17,(Datos!J17+Datos!AD17-(Datos!T17+Datos!AL17))/(Datos!T17+Datos!AL17))," - ")</f>
        <v>2.4475524475524476E-2</v>
      </c>
      <c r="F17" s="348">
        <f>IF(ISNUMBER(
   IF(D_I="SI",(Datos!K17-Datos!U17)/Datos!U17,(Datos!K17+Datos!AE17-(Datos!U17+Datos!AM17))/(Datos!U17+Datos!AM17))
     ),IF(D_I="SI",(Datos!K17-Datos!U17)/Datos!U17,(Datos!K17+Datos!AE17-(Datos!U17+Datos!AM17))/(Datos!U17+Datos!AM17))," - ")</f>
        <v>5.8823529411764705E-2</v>
      </c>
      <c r="G17" s="349">
        <f>IF(ISNUMBER(
   IF(D_I="SI",(Datos!L17-Datos!V17)/Datos!V17,(Datos!L17+Datos!AF17-(Datos!V17+Datos!AN17))/(Datos!V17+Datos!AN17))
     ),IF(D_I="SI",(Datos!L17-Datos!V17)/Datos!V17,(Datos!L17+Datos!AF17-(Datos!V17+Datos!AN17))/(Datos!V17+Datos!AN17))," - ")</f>
        <v>5.0980392156862744E-2</v>
      </c>
      <c r="H17" s="230">
        <f>IF(ISNUMBER((Datos!M17-Datos!W17)/Datos!W17),(Datos!M17-Datos!W17)/Datos!W17," - ")</f>
        <v>-0.125</v>
      </c>
      <c r="I17" s="350">
        <f>IF(ISNUMBER((Tasas!C17-Datos!BE17)/Datos!BE17),(Tasas!C17-Datos!BE17)/Datos!BE17," - ")</f>
        <v>-7.4074074074073817E-3</v>
      </c>
      <c r="J17" s="349">
        <f>IF(ISNUMBER((Tasas!D17-Datos!BF17)/Datos!BF17),(Tasas!D17-Datos!BF17)/Datos!BF17," - ")</f>
        <v>-0.17361111111111119</v>
      </c>
      <c r="K17" s="351">
        <f>IF(ISNUMBER((Tasas!E17-Datos!BG17)/Datos!BG17),(Tasas!E17-Datos!BG17)/Datos!BG17," - ")</f>
        <v>-3.4722222222222099E-3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0.16100495399858458</v>
      </c>
      <c r="E18" s="354">
        <f>IF(ISNUMBER(
   IF(D_I="SI",(Datos!J18-Datos!T18)/Datos!T18,(Datos!J18+Datos!AD18-(Datos!T18+Datos!AL18))/(Datos!T18+Datos!AL18))
     ),IF(D_I="SI",(Datos!J18-Datos!T18)/Datos!T18,(Datos!J18+Datos!AD18-(Datos!T18+Datos!AL18))/(Datos!T18+Datos!AL18))," - ")</f>
        <v>-4.190026556506344E-2</v>
      </c>
      <c r="F18" s="354">
        <f>IF(ISNUMBER(
   IF(D_I="SI",(Datos!K18-Datos!U18)/Datos!U18,(Datos!K18+Datos!AE18-(Datos!U18+Datos!AM18))/(Datos!U18+Datos!AM18))
     ),IF(D_I="SI",(Datos!K18-Datos!U18)/Datos!U18,(Datos!K18+Datos!AE18-(Datos!U18+Datos!AM18))/(Datos!U18+Datos!AM18))," - ")</f>
        <v>6.4803439803439805E-2</v>
      </c>
      <c r="G18" s="355">
        <f>IF(ISNUMBER(
   IF(D_I="SI",(Datos!L18-Datos!V18)/Datos!V18,(Datos!L18+Datos!AF18-(Datos!V18+Datos!AN18))/(Datos!V18+Datos!AN18))
     ),IF(D_I="SI",(Datos!L18-Datos!V18)/Datos!V18,(Datos!L18+Datos!AF18-(Datos!V18+Datos!AN18))/(Datos!V18+Datos!AN18))," - ")</f>
        <v>3.4574468085106384E-2</v>
      </c>
      <c r="H18" s="356">
        <f>IF(ISNUMBER((Datos!M18-Datos!W18)/Datos!W18),(Datos!M18-Datos!W18)/Datos!W18," - ")</f>
        <v>1.2605042016806723E-2</v>
      </c>
      <c r="I18" s="357">
        <f>IF(ISNUMBER((Tasas!C18-Datos!BE18)/Datos!BE18),(Tasas!C18-Datos!BE18)/Datos!BE18," - ")</f>
        <v>-2.8389250624428528E-2</v>
      </c>
      <c r="J18" s="355">
        <f>IF(ISNUMBER((Tasas!D18-Datos!BF18)/Datos!BF18),(Tasas!D18-Datos!BF18)/Datos!BF18," - ")</f>
        <v>-4.9021627687706015E-2</v>
      </c>
      <c r="K18" s="358">
        <f>IF(ISNUMBER((Tasas!E18-Datos!BG18)/Datos!BG18),(Tasas!E18-Datos!BG18)/Datos!BG18," - ")</f>
        <v>-1.3562514836473315E-2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1.5934706568208317E-2</v>
      </c>
      <c r="E19" s="363">
        <f>IF(ISNUMBER(
   IF(J_V="SI",(Datos!J19-Datos!T19)/Datos!T19,(Datos!J19+Datos!Z19-(Datos!T19+Datos!AH19))/(Datos!T19+Datos!AH19))
     ),IF(J_V="SI",(Datos!J19-Datos!T19)/Datos!T19,(Datos!J19+Datos!Z19-(Datos!T19+Datos!AH19))/(Datos!T19+Datos!AH19))," - ")</f>
        <v>0.26440888612707786</v>
      </c>
      <c r="F19" s="363">
        <f>IF(ISNUMBER(
   IF(J_V="SI",(Datos!K19-Datos!U19)/Datos!U19,(Datos!K19+Datos!AA19-(Datos!U19+Datos!AI19))/(Datos!U19+Datos!AI19))
     ),IF(J_V="SI",(Datos!K19-Datos!U19)/Datos!U19,(Datos!K19+Datos!AA19-(Datos!U19+Datos!AI19))/(Datos!U19+Datos!AI19))," - ")</f>
        <v>0.11392787083144711</v>
      </c>
      <c r="G19" s="364">
        <f>IF(ISNUMBER(
   IF(J_V="SI",(Datos!L19-Datos!V19)/Datos!V19,(Datos!L19+Datos!AB19-(Datos!V19+Datos!AJ19))/(Datos!V19+Datos!AJ19))
     ),IF(J_V="SI",(Datos!L19-Datos!V19)/Datos!V19,(Datos!L19+Datos!AB19-(Datos!V19+Datos!AJ19))/(Datos!V19+Datos!AJ19))," - ")</f>
        <v>0.10343808491774209</v>
      </c>
      <c r="H19" s="365">
        <f>IF(ISNUMBER((Datos!M19-Datos!W19)/Datos!W19),(Datos!M19-Datos!W19)/Datos!W19," - ")</f>
        <v>8.9418777943368107E-3</v>
      </c>
      <c r="I19" s="362">
        <f>IF(ISNUMBER((Tasas!C19-Datos!BE19)/Datos!BE19),(Tasas!C19-Datos!BE19)/Datos!BE19," - ")</f>
        <v>-9.4169346044598104E-3</v>
      </c>
      <c r="J19" s="363">
        <f>IF(ISNUMBER((Tasas!D19-Datos!BF19)/Datos!BF19),(Tasas!D19-Datos!BF19)/Datos!BF19," - ")</f>
        <v>-0.35241419357688297</v>
      </c>
      <c r="K19" s="364">
        <f>IF(ISNUMBER((Tasas!E19-Datos!BG19)/Datos!BG19),(Tasas!E19-Datos!BG19)/Datos!BG19," - ")</f>
        <v>-2.1411090227776916E-3</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0.1488757120912482</v>
      </c>
      <c r="E21" s="278">
        <f t="shared" si="1"/>
        <v>0.27756106247134721</v>
      </c>
      <c r="F21" s="278">
        <f t="shared" si="1"/>
        <v>7.3228895984797981E-2</v>
      </c>
      <c r="G21" s="279">
        <f t="shared" si="1"/>
        <v>1.0394074134312E-2</v>
      </c>
      <c r="H21" s="285">
        <f t="shared" si="1"/>
        <v>0.22633790676426296</v>
      </c>
      <c r="I21" s="277">
        <f t="shared" si="1"/>
        <v>0.14224426554233607</v>
      </c>
      <c r="J21" s="278">
        <f t="shared" si="1"/>
        <v>0.40319259821253139</v>
      </c>
      <c r="K21" s="279">
        <f t="shared" si="1"/>
        <v>9.3135595173329477E-2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Z6TvQb9DMWUmtGAtxE0qPWRLMNbwV4K663tCtBSAbY/Xje9ZEebBCQaOyaLm5KVaVsY9GKUFfCI26ySl0aT3CA==" saltValue="db4DlfBRsXaWnfsW76R1T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2024-05-29T12:18:55Z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